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9660" windowHeight="7260" tabRatio="601" activeTab="7"/>
  </bookViews>
  <sheets>
    <sheet name="keel" sheetId="1" r:id="rId1"/>
    <sheet name="Naca" sheetId="2" r:id="rId2"/>
    <sheet name="Cdraft" sheetId="3" r:id="rId3"/>
    <sheet name="Bolts" sheetId="4" r:id="rId4"/>
    <sheet name="Rig" sheetId="5" r:id="rId5"/>
    <sheet name="Metal" sheetId="6" r:id="rId6"/>
    <sheet name="SS Chainplate" sheetId="7" r:id="rId7"/>
    <sheet name="Alu Chainplate " sheetId="8" r:id="rId8"/>
    <sheet name="Quille" sheetId="9" r:id="rId9"/>
    <sheet name="Cad" sheetId="10" r:id="rId10"/>
    <sheet name="Saf" sheetId="11" r:id="rId11"/>
  </sheets>
  <definedNames>
    <definedName name="solver_adj" localSheetId="9" hidden="1">'Cad'!#REF!</definedName>
    <definedName name="solver_adj" localSheetId="8" hidden="1">'Quille'!#REF!</definedName>
    <definedName name="solver_adj" localSheetId="10" hidden="1">'Saf'!#REF!</definedName>
    <definedName name="solver_drv" localSheetId="9" hidden="1">1</definedName>
    <definedName name="solver_drv" localSheetId="8" hidden="1">1</definedName>
    <definedName name="solver_drv" localSheetId="10" hidden="1">1</definedName>
    <definedName name="solver_est" localSheetId="9" hidden="1">1</definedName>
    <definedName name="solver_est" localSheetId="8" hidden="1">1</definedName>
    <definedName name="solver_est" localSheetId="10" hidden="1">1</definedName>
    <definedName name="solver_itr" localSheetId="9" hidden="1">100</definedName>
    <definedName name="solver_itr" localSheetId="8" hidden="1">100</definedName>
    <definedName name="solver_itr" localSheetId="10" hidden="1">100</definedName>
    <definedName name="solver_lhs1" localSheetId="9" hidden="1">'Cad'!#REF!</definedName>
    <definedName name="solver_lhs1" localSheetId="8" hidden="1">'Quille'!#REF!</definedName>
    <definedName name="solver_lhs1" localSheetId="10" hidden="1">'Saf'!#REF!</definedName>
    <definedName name="solver_lhs2" localSheetId="9" hidden="1">'Cad'!#REF!</definedName>
    <definedName name="solver_lhs2" localSheetId="8" hidden="1">'Quille'!#REF!</definedName>
    <definedName name="solver_lhs2" localSheetId="10" hidden="1">'Saf'!#REF!</definedName>
    <definedName name="solver_lhs3" localSheetId="9" hidden="1">'Cad'!#REF!</definedName>
    <definedName name="solver_lhs3" localSheetId="8" hidden="1">'Quille'!#REF!</definedName>
    <definedName name="solver_lhs3" localSheetId="10" hidden="1">'Saf'!#REF!</definedName>
    <definedName name="solver_lin" localSheetId="9" hidden="1">0</definedName>
    <definedName name="solver_lin" localSheetId="8" hidden="1">0</definedName>
    <definedName name="solver_lin" localSheetId="10" hidden="1">0</definedName>
    <definedName name="solver_num" localSheetId="9" hidden="1">3</definedName>
    <definedName name="solver_num" localSheetId="8" hidden="1">3</definedName>
    <definedName name="solver_num" localSheetId="10" hidden="1">3</definedName>
    <definedName name="solver_nwt" localSheetId="9" hidden="1">1</definedName>
    <definedName name="solver_nwt" localSheetId="8" hidden="1">1</definedName>
    <definedName name="solver_nwt" localSheetId="10" hidden="1">1</definedName>
    <definedName name="solver_opt" localSheetId="9" hidden="1">'Cad'!#REF!</definedName>
    <definedName name="solver_opt" localSheetId="8" hidden="1">'Quille'!#REF!</definedName>
    <definedName name="solver_opt" localSheetId="10" hidden="1">'Saf'!#REF!</definedName>
    <definedName name="solver_pre" localSheetId="9" hidden="1">0.001</definedName>
    <definedName name="solver_pre" localSheetId="8" hidden="1">0.001</definedName>
    <definedName name="solver_pre" localSheetId="10" hidden="1">0.001</definedName>
    <definedName name="solver_rel1" localSheetId="9" hidden="1">2</definedName>
    <definedName name="solver_rel1" localSheetId="8" hidden="1">2</definedName>
    <definedName name="solver_rel1" localSheetId="10" hidden="1">2</definedName>
    <definedName name="solver_rel2" localSheetId="9" hidden="1">2</definedName>
    <definedName name="solver_rel2" localSheetId="8" hidden="1">2</definedName>
    <definedName name="solver_rel2" localSheetId="10" hidden="1">2</definedName>
    <definedName name="solver_rel3" localSheetId="9" hidden="1">2</definedName>
    <definedName name="solver_rel3" localSheetId="8" hidden="1">2</definedName>
    <definedName name="solver_rel3" localSheetId="10" hidden="1">2</definedName>
    <definedName name="solver_rhs1" localSheetId="9" hidden="1">'Cad'!#REF!</definedName>
    <definedName name="solver_rhs1" localSheetId="8" hidden="1">'Quille'!#REF!</definedName>
    <definedName name="solver_rhs1" localSheetId="10" hidden="1">'Saf'!#REF!</definedName>
    <definedName name="solver_rhs2" localSheetId="9" hidden="1">'Cad'!#REF!</definedName>
    <definedName name="solver_rhs2" localSheetId="8" hidden="1">'Quille'!#REF!</definedName>
    <definedName name="solver_rhs2" localSheetId="10" hidden="1">'Saf'!#REF!</definedName>
    <definedName name="solver_rhs3" localSheetId="9" hidden="1">'Cad'!#REF!</definedName>
    <definedName name="solver_rhs3" localSheetId="8" hidden="1">'Quille'!#REF!</definedName>
    <definedName name="solver_rhs3" localSheetId="10" hidden="1">'Saf'!#REF!</definedName>
    <definedName name="solver_scl" localSheetId="9" hidden="1">0</definedName>
    <definedName name="solver_scl" localSheetId="8" hidden="1">0</definedName>
    <definedName name="solver_scl" localSheetId="10" hidden="1">0</definedName>
    <definedName name="solver_sho" localSheetId="9" hidden="1">0</definedName>
    <definedName name="solver_sho" localSheetId="8" hidden="1">0</definedName>
    <definedName name="solver_sho" localSheetId="10" hidden="1">0</definedName>
    <definedName name="solver_tim" localSheetId="9" hidden="1">100</definedName>
    <definedName name="solver_tim" localSheetId="8" hidden="1">100</definedName>
    <definedName name="solver_tim" localSheetId="10" hidden="1">100</definedName>
    <definedName name="solver_tol" localSheetId="9" hidden="1">0.05</definedName>
    <definedName name="solver_tol" localSheetId="8" hidden="1">0.05</definedName>
    <definedName name="solver_tol" localSheetId="10" hidden="1">0.05</definedName>
    <definedName name="solver_typ" localSheetId="9" hidden="1">1</definedName>
    <definedName name="solver_typ" localSheetId="8" hidden="1">1</definedName>
    <definedName name="solver_typ" localSheetId="10" hidden="1">1</definedName>
    <definedName name="solver_val" localSheetId="9" hidden="1">0</definedName>
    <definedName name="solver_val" localSheetId="8" hidden="1">0</definedName>
    <definedName name="solver_val" localSheetId="10" hidden="1">0</definedName>
  </definedNames>
  <calcPr fullCalcOnLoad="1"/>
</workbook>
</file>

<file path=xl/sharedStrings.xml><?xml version="1.0" encoding="utf-8"?>
<sst xmlns="http://schemas.openxmlformats.org/spreadsheetml/2006/main" count="1095" uniqueCount="569">
  <si>
    <r>
      <t>Grégoire DOLTO</t>
    </r>
    <r>
      <rPr>
        <sz val="10"/>
        <rFont val="Times New Roman"/>
        <family val="0"/>
      </rPr>
      <t xml:space="preserve">  4 Impasse Royer Collard  75005 Paris   Tél  01 43 25 18 99     Fax 01 40 46 80 20</t>
    </r>
  </si>
  <si>
    <t>A</t>
  </si>
  <si>
    <t>Yq</t>
  </si>
  <si>
    <t>Lh</t>
  </si>
  <si>
    <t>D</t>
  </si>
  <si>
    <t>kg</t>
  </si>
  <si>
    <t>m</t>
  </si>
  <si>
    <t>*</t>
  </si>
  <si>
    <t>Lwl</t>
  </si>
  <si>
    <t>Mm</t>
  </si>
  <si>
    <t>Md</t>
  </si>
  <si>
    <t>Ls</t>
  </si>
  <si>
    <t>Résultat</t>
  </si>
  <si>
    <t>OK</t>
  </si>
  <si>
    <t>t</t>
  </si>
  <si>
    <t>Lest</t>
  </si>
  <si>
    <t>Allongt</t>
  </si>
  <si>
    <t>l</t>
  </si>
  <si>
    <t>d</t>
  </si>
  <si>
    <t>h</t>
  </si>
  <si>
    <t>Néc</t>
  </si>
  <si>
    <t>mm</t>
  </si>
  <si>
    <t>F</t>
  </si>
  <si>
    <t>Chantier:</t>
  </si>
  <si>
    <t>Mpa</t>
  </si>
  <si>
    <t>TauR</t>
  </si>
  <si>
    <t>MPa</t>
  </si>
  <si>
    <t>Unité</t>
  </si>
  <si>
    <t>Valeur</t>
  </si>
  <si>
    <t>Nom</t>
  </si>
  <si>
    <t>L</t>
  </si>
  <si>
    <t>Nm</t>
  </si>
  <si>
    <t>Mfq</t>
  </si>
  <si>
    <t>ANALYSE D'ECHANTILLONNAGE POUR l'ICNN</t>
  </si>
  <si>
    <t xml:space="preserve">        Bateau :</t>
  </si>
  <si>
    <t>R</t>
  </si>
  <si>
    <t>E</t>
  </si>
  <si>
    <r>
      <t>s</t>
    </r>
    <r>
      <rPr>
        <sz val="10"/>
        <rFont val="Times New Roman"/>
        <family val="1"/>
      </rPr>
      <t>a</t>
    </r>
  </si>
  <si>
    <t>Déplact</t>
  </si>
  <si>
    <t>nombre</t>
  </si>
  <si>
    <t>g tall</t>
  </si>
  <si>
    <t>Matériau</t>
  </si>
  <si>
    <t>Consid</t>
  </si>
  <si>
    <t>Charge</t>
  </si>
  <si>
    <t>var Lest</t>
  </si>
  <si>
    <r>
      <t xml:space="preserve">pour </t>
    </r>
    <r>
      <rPr>
        <sz val="10"/>
        <rFont val="Symbol"/>
        <family val="1"/>
      </rPr>
      <t>s</t>
    </r>
    <r>
      <rPr>
        <sz val="10"/>
        <rFont val="Times New Roman"/>
        <family val="0"/>
      </rPr>
      <t>a</t>
    </r>
  </si>
  <si>
    <t>Boulons</t>
  </si>
  <si>
    <t>nv</t>
  </si>
  <si>
    <t>g</t>
  </si>
  <si>
    <t>QUILLE GTE</t>
  </si>
  <si>
    <t>Poids</t>
  </si>
  <si>
    <t>VCG sous</t>
  </si>
  <si>
    <t>Lsmh</t>
  </si>
  <si>
    <t>LCg AR</t>
  </si>
  <si>
    <t>Xq/</t>
  </si>
  <si>
    <t>d néc</t>
  </si>
  <si>
    <t>d nom</t>
  </si>
  <si>
    <t xml:space="preserve"> sem hte</t>
  </si>
  <si>
    <t>Sem Hte</t>
  </si>
  <si>
    <t>mil S hte</t>
  </si>
  <si>
    <r>
      <t>S</t>
    </r>
    <r>
      <rPr>
        <sz val="10"/>
        <rFont val="Times New Roman"/>
        <family val="0"/>
      </rPr>
      <t>li</t>
    </r>
  </si>
  <si>
    <t>noyau</t>
  </si>
  <si>
    <t>mis</t>
  </si>
  <si>
    <t>Mq</t>
  </si>
  <si>
    <t>Xq</t>
  </si>
  <si>
    <t>di</t>
  </si>
  <si>
    <t xml:space="preserve">bi(mm)  </t>
  </si>
  <si>
    <t>n° rangée</t>
  </si>
  <si>
    <t>di approx</t>
  </si>
  <si>
    <t>bi²</t>
  </si>
  <si>
    <t>bi²di²</t>
  </si>
  <si>
    <r>
      <t>s</t>
    </r>
    <r>
      <rPr>
        <sz val="10"/>
        <rFont val="Times New Roman"/>
        <family val="0"/>
      </rPr>
      <t>i</t>
    </r>
  </si>
  <si>
    <r>
      <t>s</t>
    </r>
    <r>
      <rPr>
        <sz val="10"/>
        <rFont val="Times New Roman"/>
        <family val="0"/>
      </rPr>
      <t>i/</t>
    </r>
    <r>
      <rPr>
        <sz val="10"/>
        <rFont val="Symbol"/>
        <family val="1"/>
      </rPr>
      <t>s</t>
    </r>
    <r>
      <rPr>
        <sz val="10"/>
        <rFont val="Times New Roman"/>
        <family val="0"/>
      </rPr>
      <t>a</t>
    </r>
  </si>
  <si>
    <t>Analyse au talonnement</t>
  </si>
  <si>
    <t>Varangues encastrées au niveau carlingues ( vérifier formules)</t>
  </si>
  <si>
    <t>bq</t>
  </si>
  <si>
    <t>a</t>
  </si>
  <si>
    <t>F tall</t>
  </si>
  <si>
    <t>Mf A</t>
  </si>
  <si>
    <t>Mf C</t>
  </si>
  <si>
    <t>Mf max</t>
  </si>
  <si>
    <t>Mf total</t>
  </si>
  <si>
    <t>Mf nec</t>
  </si>
  <si>
    <t>Mf admiss</t>
  </si>
  <si>
    <t>Mfa/</t>
  </si>
  <si>
    <t>larg</t>
  </si>
  <si>
    <t>1g</t>
  </si>
  <si>
    <r>
      <t>s</t>
    </r>
    <r>
      <rPr>
        <sz val="10"/>
        <rFont val="Times New Roman"/>
        <family val="0"/>
      </rPr>
      <t>a</t>
    </r>
  </si>
  <si>
    <t>Mfnéc</t>
  </si>
  <si>
    <t>varangues</t>
  </si>
  <si>
    <t>semh</t>
  </si>
  <si>
    <t>Mft2</t>
  </si>
  <si>
    <t>par var</t>
  </si>
  <si>
    <t>daN</t>
  </si>
  <si>
    <t>Analyse Choc Frontal</t>
  </si>
  <si>
    <t>Varangues encastrées au niveau carlingues  on suppose Var/Vav travaillent</t>
  </si>
  <si>
    <t>Ybas</t>
  </si>
  <si>
    <t>F front</t>
  </si>
  <si>
    <t>F Vav/VAr</t>
  </si>
  <si>
    <t>Mf néc</t>
  </si>
  <si>
    <t>VAV-VAR</t>
  </si>
  <si>
    <t>Bas quille</t>
  </si>
  <si>
    <t>varangue</t>
  </si>
  <si>
    <t>Var /Vav</t>
  </si>
  <si>
    <t>N</t>
  </si>
  <si>
    <t>Rappel des dimensions de filetage ISO</t>
  </si>
  <si>
    <t>d ext (mm)</t>
  </si>
  <si>
    <t>Pas norm</t>
  </si>
  <si>
    <t>di (noyau)</t>
  </si>
  <si>
    <t>s noy mm²</t>
  </si>
  <si>
    <t>d à éviter</t>
  </si>
  <si>
    <t>Note : Il existe des pas fins, voir normes   d noyau = d ext -1,227 P</t>
  </si>
  <si>
    <t>Efforts dûs au talonnement:</t>
  </si>
  <si>
    <t>Mf A (encastrs var)</t>
  </si>
  <si>
    <t>Mf C au droit lest</t>
  </si>
  <si>
    <t>avec</t>
  </si>
  <si>
    <t>Appuyé extrémites</t>
  </si>
  <si>
    <t>Fa / 2</t>
  </si>
  <si>
    <t>a= (l-bq)/2</t>
  </si>
  <si>
    <t>Encastré extrémités</t>
  </si>
  <si>
    <t>F a² / 2l</t>
  </si>
  <si>
    <t>F a (l-a) / 2l</t>
  </si>
  <si>
    <t>GRAAL Architecture Navale  4 Impasse Royer Collard  75005 Paris  Tél (1) 43 25 18 99   Fax 40 46 80 20</t>
  </si>
  <si>
    <t>Nom du Bateau :</t>
  </si>
  <si>
    <t xml:space="preserve"> CADENE :</t>
  </si>
  <si>
    <t xml:space="preserve"> CADENE DE BAS HAUBAN  INOX</t>
  </si>
  <si>
    <t>Donnée : * en Gras et Rouge</t>
  </si>
  <si>
    <t>Data*</t>
  </si>
  <si>
    <t>Resultats Calculs Globaux</t>
  </si>
  <si>
    <t>Dim</t>
  </si>
  <si>
    <t>Traction</t>
  </si>
  <si>
    <t xml:space="preserve">R </t>
  </si>
  <si>
    <t>Fabriq</t>
  </si>
  <si>
    <t>Ecart</t>
  </si>
  <si>
    <t>FS Néc</t>
  </si>
  <si>
    <t>RCable</t>
  </si>
  <si>
    <t>RCadène</t>
  </si>
  <si>
    <t>RLiaison</t>
  </si>
  <si>
    <t>T</t>
  </si>
  <si>
    <t>Cable</t>
  </si>
  <si>
    <t>Axe</t>
  </si>
  <si>
    <t>Chapes</t>
  </si>
  <si>
    <t>RCab/T</t>
  </si>
  <si>
    <t>R Cad</t>
  </si>
  <si>
    <t>R Liais</t>
  </si>
  <si>
    <t>/R Cable</t>
  </si>
  <si>
    <t>Sorom</t>
  </si>
  <si>
    <t xml:space="preserve"> --------------------------------------              Valeurs pour Cadène                -------------------------------------</t>
  </si>
  <si>
    <t>Mater</t>
  </si>
  <si>
    <t>SigR</t>
  </si>
  <si>
    <t>SigM</t>
  </si>
  <si>
    <t>Di</t>
  </si>
  <si>
    <t>De</t>
  </si>
  <si>
    <t>épaiss</t>
  </si>
  <si>
    <t>Largeur</t>
  </si>
  <si>
    <t>Hauteur</t>
  </si>
  <si>
    <t>ép Tot</t>
  </si>
  <si>
    <t>Cadéne</t>
  </si>
  <si>
    <t>Trac</t>
  </si>
  <si>
    <t>Matage</t>
  </si>
  <si>
    <t>Cisaillt</t>
  </si>
  <si>
    <t>Bague</t>
  </si>
  <si>
    <t>Mini</t>
  </si>
  <si>
    <t>/Axe</t>
  </si>
  <si>
    <t>Renfort</t>
  </si>
  <si>
    <t>Hb</t>
  </si>
  <si>
    <t>INOX</t>
  </si>
  <si>
    <t xml:space="preserve"> --------------------------------------              Valeurs pour  Boulons          -------------------------------------</t>
  </si>
  <si>
    <t>Nb</t>
  </si>
  <si>
    <t>N Boul</t>
  </si>
  <si>
    <t xml:space="preserve"> 1e Rang</t>
  </si>
  <si>
    <t xml:space="preserve"> 2e Rang</t>
  </si>
  <si>
    <t xml:space="preserve"> 3e Rang</t>
  </si>
  <si>
    <t>Inox R70</t>
  </si>
  <si>
    <t xml:space="preserve"> ---------------------------------              Valeurs pour  Liaison Boulons/ Coque          --------------------------------</t>
  </si>
  <si>
    <t>de</t>
  </si>
  <si>
    <t xml:space="preserve">              Faces  Sandwich        </t>
  </si>
  <si>
    <t xml:space="preserve">                 Ame Sandwich            </t>
  </si>
  <si>
    <t>Bagues</t>
  </si>
  <si>
    <t>Matér</t>
  </si>
  <si>
    <t>Epoxy</t>
  </si>
  <si>
    <t>Strat</t>
  </si>
  <si>
    <t>BM</t>
  </si>
  <si>
    <t xml:space="preserve"> 1   ------------------------------   CALCUL DE LA CADENE    -------------------------------------</t>
  </si>
  <si>
    <t>Valeurs  a  verifier</t>
  </si>
  <si>
    <t>Section</t>
  </si>
  <si>
    <t>R Trac</t>
  </si>
  <si>
    <t>R Néc</t>
  </si>
  <si>
    <t>R/T</t>
  </si>
  <si>
    <t>FS/Néc</t>
  </si>
  <si>
    <t>1A    TRAVAIL EN TRACTION</t>
  </si>
  <si>
    <t>mm²</t>
  </si>
  <si>
    <t>Au niveau de l'Axe de la Cadène</t>
  </si>
  <si>
    <t xml:space="preserve">Section  Mini          </t>
  </si>
  <si>
    <t>Niveau 1ère Rangée Boulons</t>
  </si>
  <si>
    <t>Niveau 2ème Rangée Boulons</t>
  </si>
  <si>
    <t>Niveau 3ème Rangée Boulons</t>
  </si>
  <si>
    <t>Surface</t>
  </si>
  <si>
    <t xml:space="preserve">R Mat </t>
  </si>
  <si>
    <t>1B  TRAVAIL AU MATAGE</t>
  </si>
  <si>
    <t>FS MINIMUM</t>
  </si>
  <si>
    <t>Axe ou Bague / Cadène</t>
  </si>
  <si>
    <t>FINAL</t>
  </si>
  <si>
    <t>R Cis</t>
  </si>
  <si>
    <t>1C TRAVAIL AU CISAILLEMENT</t>
  </si>
  <si>
    <t>2----------------------   CALCUL DE LA LIAISON BOULONNEE CADENE/COQUE---------------</t>
  </si>
  <si>
    <t>Nb Boul</t>
  </si>
  <si>
    <t>d Boul</t>
  </si>
  <si>
    <t>ép Cad</t>
  </si>
  <si>
    <t>SMat/B</t>
  </si>
  <si>
    <t>RMat/B</t>
  </si>
  <si>
    <t>RMat Tot</t>
  </si>
  <si>
    <t>2A  CONTACT CADENE/BOULONS</t>
  </si>
  <si>
    <t>Epaiss optimale cadène au droit boulons</t>
  </si>
  <si>
    <t>Ecartement</t>
  </si>
  <si>
    <t>Ver Max</t>
  </si>
  <si>
    <t>Ver Min</t>
  </si>
  <si>
    <t>des Boulons</t>
  </si>
  <si>
    <t>Hor Max</t>
  </si>
  <si>
    <t>Hor Min</t>
  </si>
  <si>
    <t>SCis/B</t>
  </si>
  <si>
    <t>RCis/B</t>
  </si>
  <si>
    <t>RCis Tot</t>
  </si>
  <si>
    <t>2B  CISAILLEMENT DES BOULONS</t>
  </si>
  <si>
    <t>2C  CONTACT BOULONS/COQUE</t>
  </si>
  <si>
    <t>d Bague</t>
  </si>
  <si>
    <t>ép Mat</t>
  </si>
  <si>
    <t>2C1 MATAGE BOULON/BAGUE ou BORDE</t>
  </si>
  <si>
    <t>2C2 MATAGE BAGUE/ BORDE</t>
  </si>
  <si>
    <t>2C3 CISAILLEMENT   BORDE</t>
  </si>
  <si>
    <t xml:space="preserve"> Corde </t>
  </si>
  <si>
    <t>S/Lwl²</t>
  </si>
  <si>
    <t>Conicité</t>
  </si>
  <si>
    <t xml:space="preserve"> Haute</t>
  </si>
  <si>
    <t>%</t>
  </si>
  <si>
    <t>Géom</t>
  </si>
  <si>
    <t xml:space="preserve"> m </t>
  </si>
  <si>
    <t xml:space="preserve"> mm </t>
  </si>
  <si>
    <t xml:space="preserve">  m2</t>
  </si>
  <si>
    <t xml:space="preserve">   * </t>
  </si>
  <si>
    <t xml:space="preserve">  ARG </t>
  </si>
  <si>
    <t xml:space="preserve"> Prof/Bas</t>
  </si>
  <si>
    <t xml:space="preserve"> Long </t>
  </si>
  <si>
    <t xml:space="preserve"> 1/2 ép</t>
  </si>
  <si>
    <t xml:space="preserve">  ép</t>
  </si>
  <si>
    <t>Dist BA</t>
  </si>
  <si>
    <t>Dist BF</t>
  </si>
  <si>
    <t xml:space="preserve">  S </t>
  </si>
  <si>
    <t>Coque</t>
  </si>
  <si>
    <t xml:space="preserve"> Corde</t>
  </si>
  <si>
    <t xml:space="preserve"> B Fuite</t>
  </si>
  <si>
    <t xml:space="preserve">  Relat</t>
  </si>
  <si>
    <t xml:space="preserve"> Av Axe</t>
  </si>
  <si>
    <t xml:space="preserve"> Ar Axe</t>
  </si>
  <si>
    <t>Totale</t>
  </si>
  <si>
    <t>AV Axe</t>
  </si>
  <si>
    <t xml:space="preserve">   mm</t>
  </si>
  <si>
    <t xml:space="preserve">     % </t>
  </si>
  <si>
    <t>B</t>
  </si>
  <si>
    <t>C</t>
  </si>
  <si>
    <t xml:space="preserve"> TOTAL</t>
  </si>
  <si>
    <t>Données</t>
  </si>
  <si>
    <t>Résultats de calculs</t>
  </si>
  <si>
    <t>h a</t>
  </si>
  <si>
    <t>hph-hpb</t>
  </si>
  <si>
    <t>corde M</t>
  </si>
  <si>
    <t>x ba CM</t>
  </si>
  <si>
    <t>S</t>
  </si>
  <si>
    <t>hc</t>
  </si>
  <si>
    <t>lc</t>
  </si>
  <si>
    <t>hb</t>
  </si>
  <si>
    <t>Ls/</t>
  </si>
  <si>
    <t>Vcalcul</t>
  </si>
  <si>
    <t>axePb-ch</t>
  </si>
  <si>
    <t>pelle</t>
  </si>
  <si>
    <t>ha</t>
  </si>
  <si>
    <t>xl</t>
  </si>
  <si>
    <r>
      <t>Vc</t>
    </r>
    <r>
      <rPr>
        <vertAlign val="superscript"/>
        <sz val="10"/>
        <rFont val="Times New Roman"/>
        <family val="1"/>
      </rPr>
      <t>1/3</t>
    </r>
  </si>
  <si>
    <t>m²</t>
  </si>
  <si>
    <t>nds</t>
  </si>
  <si>
    <t xml:space="preserve"> PARAMETRES MECANIQUES MECHE</t>
  </si>
  <si>
    <t>Données (code 1 métal, 2 autre)</t>
  </si>
  <si>
    <t>Matière</t>
  </si>
  <si>
    <t xml:space="preserve">  Code</t>
  </si>
  <si>
    <r>
      <t>s</t>
    </r>
    <r>
      <rPr>
        <sz val="10"/>
        <color indexed="10"/>
        <rFont val="Times New Roman"/>
        <family val="0"/>
      </rPr>
      <t>E</t>
    </r>
  </si>
  <si>
    <r>
      <t>s</t>
    </r>
    <r>
      <rPr>
        <sz val="10"/>
        <color indexed="10"/>
        <rFont val="Times New Roman"/>
        <family val="0"/>
      </rPr>
      <t>R</t>
    </r>
  </si>
  <si>
    <t>Mt max</t>
  </si>
  <si>
    <r>
      <t>s</t>
    </r>
    <r>
      <rPr>
        <sz val="10"/>
        <color indexed="12"/>
        <rFont val="Times New Roman"/>
        <family val="0"/>
      </rPr>
      <t>c</t>
    </r>
  </si>
  <si>
    <t>Pb</t>
  </si>
  <si>
    <t>Ph</t>
  </si>
  <si>
    <t>Mèche</t>
  </si>
  <si>
    <t>mN</t>
  </si>
  <si>
    <t>d/d néc</t>
  </si>
  <si>
    <t>Réaction d'appui</t>
  </si>
  <si>
    <t>d Phaut</t>
  </si>
  <si>
    <t>H Pbas</t>
  </si>
  <si>
    <t>H Phaut</t>
  </si>
  <si>
    <t>Pmat a</t>
  </si>
  <si>
    <t>Diamètre Mèche</t>
  </si>
  <si>
    <t xml:space="preserve"> Dist/</t>
  </si>
  <si>
    <t>Moment</t>
  </si>
  <si>
    <t xml:space="preserve">Mod Z </t>
  </si>
  <si>
    <t>D rond</t>
  </si>
  <si>
    <t xml:space="preserve"> Dext</t>
  </si>
  <si>
    <t>Dint</t>
  </si>
  <si>
    <t xml:space="preserve">  Z</t>
  </si>
  <si>
    <t>pour quelques</t>
  </si>
  <si>
    <t xml:space="preserve"> Pal Bas</t>
  </si>
  <si>
    <t xml:space="preserve">   Flex</t>
  </si>
  <si>
    <t xml:space="preserve">  Torsion</t>
  </si>
  <si>
    <t>Calcul</t>
  </si>
  <si>
    <t>Necess</t>
  </si>
  <si>
    <t xml:space="preserve"> Tube</t>
  </si>
  <si>
    <t>sections particulières</t>
  </si>
  <si>
    <t xml:space="preserve">  cm3</t>
  </si>
  <si>
    <t xml:space="preserve">  mm </t>
  </si>
  <si>
    <t>Section PALIER HAUT</t>
  </si>
  <si>
    <t>Section  PALIER  BAS</t>
  </si>
  <si>
    <r>
      <t>S</t>
    </r>
    <r>
      <rPr>
        <sz val="10"/>
        <rFont val="Times New Roman"/>
        <family val="1"/>
      </rPr>
      <t>b</t>
    </r>
    <r>
      <rPr>
        <sz val="10"/>
        <rFont val="Times New Roman"/>
        <family val="0"/>
      </rPr>
      <t>i</t>
    </r>
  </si>
  <si>
    <t>Moy</t>
  </si>
  <si>
    <t>Day Boat 30</t>
  </si>
  <si>
    <t>Grégoire DOLTO  /  GRAAL   4 Impasse Royer Collard  75005 Paris   Tél  01 43 25 18 99   Fax  01 40 48 80 20</t>
  </si>
  <si>
    <t>daNm</t>
  </si>
  <si>
    <t xml:space="preserve">ANALYSE PARAMETRES DU GOUVERNAIL </t>
  </si>
  <si>
    <t xml:space="preserve"> Bateau :</t>
  </si>
  <si>
    <t>Architecte :</t>
  </si>
  <si>
    <t xml:space="preserve">  Graal</t>
  </si>
  <si>
    <t>Paramètres du bateau</t>
  </si>
  <si>
    <t>Paramètres du safran</t>
  </si>
  <si>
    <t>Bh</t>
  </si>
  <si>
    <t>Dépt</t>
  </si>
  <si>
    <t>Comp</t>
  </si>
  <si>
    <t>Lège</t>
  </si>
  <si>
    <t xml:space="preserve">  Base</t>
  </si>
  <si>
    <t>(trapèze)</t>
  </si>
  <si>
    <t xml:space="preserve"> Y CS</t>
  </si>
  <si>
    <t xml:space="preserve"> X CS/Axe</t>
  </si>
  <si>
    <t>yi</t>
  </si>
  <si>
    <t>xi</t>
  </si>
  <si>
    <r>
      <t>m</t>
    </r>
    <r>
      <rPr>
        <vertAlign val="superscript"/>
        <sz val="10"/>
        <rFont val="Times New Roman"/>
        <family val="1"/>
      </rPr>
      <t>3</t>
    </r>
  </si>
  <si>
    <t>xl av</t>
  </si>
  <si>
    <t>Diam Mini</t>
  </si>
  <si>
    <t>F16PH</t>
  </si>
  <si>
    <t xml:space="preserve">  Z/Zn</t>
  </si>
  <si>
    <t>Sect  int 2</t>
  </si>
  <si>
    <t>Sect  int 1</t>
  </si>
  <si>
    <t>FORME DU SAFRAN     PROFIL :</t>
  </si>
  <si>
    <t>65 A1 NN</t>
  </si>
  <si>
    <t>NOTA: Pour les Chantiers Chargés de construire le safran,les cotes suivantes sont suffisantes pour bien définir le profil</t>
  </si>
  <si>
    <t xml:space="preserve"> H Sect</t>
  </si>
  <si>
    <t xml:space="preserve">  Rayon</t>
  </si>
  <si>
    <t xml:space="preserve"> /Sect A</t>
  </si>
  <si>
    <t>Aboutie</t>
  </si>
  <si>
    <t xml:space="preserve"> B Attaq</t>
  </si>
  <si>
    <t xml:space="preserve">     mm</t>
  </si>
  <si>
    <t>L%LAb</t>
  </si>
  <si>
    <t>L mm</t>
  </si>
  <si>
    <t>1/2ép mm</t>
  </si>
  <si>
    <t>Siyi</t>
  </si>
  <si>
    <t>Sixi</t>
  </si>
  <si>
    <r>
      <t>S</t>
    </r>
    <r>
      <rPr>
        <sz val="10"/>
        <rFont val="Times New Roman"/>
        <family val="0"/>
      </rPr>
      <t>Siyi</t>
    </r>
  </si>
  <si>
    <t>Mfloc/</t>
  </si>
  <si>
    <t>approx</t>
  </si>
  <si>
    <t>Mfmax</t>
  </si>
  <si>
    <r>
      <t>(1-</t>
    </r>
    <r>
      <rPr>
        <sz val="10"/>
        <rFont val="Symbol"/>
        <family val="1"/>
      </rPr>
      <t>a</t>
    </r>
    <r>
      <rPr>
        <sz val="10"/>
        <rFont val="Times New Roman"/>
        <family val="0"/>
      </rPr>
      <t>)²</t>
    </r>
  </si>
  <si>
    <t>Section   en</t>
  </si>
  <si>
    <t>Ronds tenue de la pelle en torsion</t>
  </si>
  <si>
    <t>D ronds néc</t>
  </si>
  <si>
    <t>D ronds mis</t>
  </si>
  <si>
    <t>Mfa/Mfnéc</t>
  </si>
  <si>
    <t>A4 80</t>
  </si>
  <si>
    <t>Analyse a la gite</t>
  </si>
  <si>
    <t>total</t>
  </si>
  <si>
    <t>par</t>
  </si>
  <si>
    <t>Mf /rond =Mt/(1,5) n</t>
  </si>
  <si>
    <r>
      <t>s</t>
    </r>
    <r>
      <rPr>
        <sz val="10"/>
        <rFont val="Times New Roman"/>
        <family val="0"/>
      </rPr>
      <t>c rd ( déf = mêche)</t>
    </r>
  </si>
  <si>
    <t>Nb ronds</t>
  </si>
  <si>
    <t>Mf divise par 1,5 n car Av/Ar ronds trav</t>
  </si>
  <si>
    <t>Comp ABS-6SO</t>
  </si>
  <si>
    <t>Keel Weight   Q</t>
  </si>
  <si>
    <t>Kg</t>
  </si>
  <si>
    <t>Name</t>
  </si>
  <si>
    <t>Unit</t>
  </si>
  <si>
    <t>value ISO</t>
  </si>
  <si>
    <t>value ABS</t>
  </si>
  <si>
    <t xml:space="preserve">Keel weight arm   a  </t>
  </si>
  <si>
    <t>ncg</t>
  </si>
  <si>
    <t>Mq=10 Qan</t>
  </si>
  <si>
    <t>Comp ABS-ISO</t>
  </si>
  <si>
    <t>Keel Weight   Wk</t>
  </si>
  <si>
    <t>Keel weight arm   Yk</t>
  </si>
  <si>
    <t>WkYk</t>
  </si>
  <si>
    <t>Nmm</t>
  </si>
  <si>
    <r>
      <t>s</t>
    </r>
    <r>
      <rPr>
        <sz val="10"/>
        <rFont val="Times New Roman"/>
        <family val="0"/>
      </rPr>
      <t>y keel bolt</t>
    </r>
  </si>
  <si>
    <t>N/mm²</t>
  </si>
  <si>
    <r>
      <t>S</t>
    </r>
    <r>
      <rPr>
        <sz val="10"/>
        <rFont val="Times New Roman"/>
        <family val="0"/>
      </rPr>
      <t xml:space="preserve"> li</t>
    </r>
  </si>
  <si>
    <t>di ABS at bottom of thread</t>
  </si>
  <si>
    <r>
      <t>s</t>
    </r>
    <r>
      <rPr>
        <sz val="10"/>
        <rFont val="Times New Roman"/>
        <family val="1"/>
      </rPr>
      <t>u</t>
    </r>
    <r>
      <rPr>
        <sz val="10"/>
        <rFont val="Symbol"/>
        <family val="1"/>
      </rPr>
      <t xml:space="preserve"> </t>
    </r>
    <r>
      <rPr>
        <sz val="10"/>
        <rFont val="Times New Roman"/>
        <family val="0"/>
      </rPr>
      <t>keel bolt</t>
    </r>
  </si>
  <si>
    <r>
      <t>s</t>
    </r>
    <r>
      <rPr>
        <sz val="10"/>
        <rFont val="Times New Roman"/>
        <family val="1"/>
      </rPr>
      <t>d</t>
    </r>
    <r>
      <rPr>
        <sz val="10"/>
        <rFont val="Symbol"/>
        <family val="1"/>
      </rPr>
      <t xml:space="preserve"> </t>
    </r>
    <r>
      <rPr>
        <sz val="10"/>
        <rFont val="Times New Roman"/>
        <family val="0"/>
      </rPr>
      <t>keel bolt</t>
    </r>
  </si>
  <si>
    <t>di ISO at bottom of thread</t>
  </si>
  <si>
    <t>Draft coefficient</t>
  </si>
  <si>
    <t>Normal</t>
  </si>
  <si>
    <t>Draft</t>
  </si>
  <si>
    <t>K draft</t>
  </si>
  <si>
    <r>
      <t xml:space="preserve">Values of  </t>
    </r>
    <r>
      <rPr>
        <b/>
        <i/>
        <sz val="10"/>
        <rFont val="Arial"/>
        <family val="2"/>
      </rPr>
      <t>L</t>
    </r>
    <r>
      <rPr>
        <b/>
        <i/>
        <vertAlign val="subscript"/>
        <sz val="10"/>
        <rFont val="Arial"/>
        <family val="2"/>
      </rPr>
      <t>H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(m)</t>
    </r>
  </si>
  <si>
    <t xml:space="preserve"> nominal</t>
  </si>
  <si>
    <t>d neck</t>
  </si>
  <si>
    <r>
      <t>ISO d</t>
    </r>
    <r>
      <rPr>
        <vertAlign val="subscript"/>
        <sz val="10"/>
        <rFont val="Arial"/>
        <family val="2"/>
      </rPr>
      <t>3</t>
    </r>
  </si>
  <si>
    <t>Normal Pitch</t>
  </si>
  <si>
    <t>Fine Pitch</t>
  </si>
  <si>
    <t xml:space="preserve"> (pitch)</t>
  </si>
  <si>
    <t xml:space="preserve">p </t>
  </si>
  <si>
    <t>S neck</t>
  </si>
  <si>
    <t xml:space="preserve">Pitch </t>
  </si>
  <si>
    <t>Fine</t>
  </si>
  <si>
    <t>dn/d</t>
  </si>
  <si>
    <t>Class</t>
  </si>
  <si>
    <t>5.6</t>
  </si>
  <si>
    <t>5.8</t>
  </si>
  <si>
    <t>6.8</t>
  </si>
  <si>
    <t>8.8</t>
  </si>
  <si>
    <t>10.9</t>
  </si>
  <si>
    <t>4.8</t>
  </si>
  <si>
    <t>12.9</t>
  </si>
  <si>
    <r>
      <t>s</t>
    </r>
    <r>
      <rPr>
        <sz val="10"/>
        <rFont val="Arial"/>
        <family val="2"/>
      </rPr>
      <t>u</t>
    </r>
  </si>
  <si>
    <r>
      <t>s</t>
    </r>
    <r>
      <rPr>
        <sz val="10"/>
        <rFont val="Arial"/>
        <family val="2"/>
      </rPr>
      <t>d</t>
    </r>
  </si>
  <si>
    <r>
      <t>s</t>
    </r>
    <r>
      <rPr>
        <sz val="10"/>
        <rFont val="Arial"/>
        <family val="2"/>
      </rPr>
      <t>y</t>
    </r>
  </si>
  <si>
    <t>ISO Steel bolts Mechnical properties according to ISO Class from ISO 898-1-1988</t>
  </si>
  <si>
    <t>ISO Class According to ISO 898-1-1988</t>
  </si>
  <si>
    <t>Tightening torque for ISO Steel bolts Elctrically Zic plated  Friction coefficient 0,125</t>
  </si>
  <si>
    <t>M 12</t>
  </si>
  <si>
    <t>M 16</t>
  </si>
  <si>
    <t>M 20</t>
  </si>
  <si>
    <t>M 24</t>
  </si>
  <si>
    <t>M 30</t>
  </si>
  <si>
    <t>M 36</t>
  </si>
  <si>
    <t>Recommended tightening torque (Nm) according to Class and Nominal Diameter Normal Pitch</t>
  </si>
  <si>
    <t>M 42</t>
  </si>
  <si>
    <t>Properties of Naca Sections</t>
  </si>
  <si>
    <t>S =C1 Lb</t>
  </si>
  <si>
    <r>
      <t>I=C2 bL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0"/>
      </rPr>
      <t>/12</t>
    </r>
  </si>
  <si>
    <r>
      <t>Z=C2 bL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0"/>
      </rPr>
      <t>/6</t>
    </r>
  </si>
  <si>
    <t>C1</t>
  </si>
  <si>
    <t>C2</t>
  </si>
  <si>
    <t>Solid</t>
  </si>
  <si>
    <t>Hollow</t>
  </si>
  <si>
    <r>
      <t xml:space="preserve">S =C3 </t>
    </r>
    <r>
      <rPr>
        <sz val="10"/>
        <rFont val="Symbol"/>
        <family val="1"/>
      </rPr>
      <t>a</t>
    </r>
    <r>
      <rPr>
        <sz val="10"/>
        <rFont val="Times New Roman"/>
        <family val="0"/>
      </rPr>
      <t xml:space="preserve"> e L</t>
    </r>
    <r>
      <rPr>
        <vertAlign val="superscript"/>
        <sz val="10"/>
        <rFont val="Times New Roman"/>
        <family val="1"/>
      </rPr>
      <t>2</t>
    </r>
  </si>
  <si>
    <r>
      <t xml:space="preserve">I =C4 </t>
    </r>
    <r>
      <rPr>
        <sz val="10"/>
        <rFont val="Symbol"/>
        <family val="1"/>
      </rPr>
      <t>a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0"/>
      </rPr>
      <t>e L</t>
    </r>
    <r>
      <rPr>
        <vertAlign val="superscript"/>
        <sz val="10"/>
        <rFont val="Times New Roman"/>
        <family val="1"/>
      </rPr>
      <t>3</t>
    </r>
  </si>
  <si>
    <t>Naca Profile</t>
  </si>
  <si>
    <t>65a12</t>
  </si>
  <si>
    <t>0012</t>
  </si>
  <si>
    <t>b mm</t>
  </si>
  <si>
    <r>
      <t xml:space="preserve">a </t>
    </r>
    <r>
      <rPr>
        <sz val="10"/>
        <rFont val="Times New Roman"/>
        <family val="0"/>
      </rPr>
      <t>%</t>
    </r>
  </si>
  <si>
    <t>S mm²</t>
  </si>
  <si>
    <r>
      <t>I mm</t>
    </r>
    <r>
      <rPr>
        <vertAlign val="superscript"/>
        <sz val="10"/>
        <rFont val="Times New Roman"/>
        <family val="1"/>
      </rPr>
      <t>4</t>
    </r>
  </si>
  <si>
    <t>A1</t>
  </si>
  <si>
    <t>A2</t>
  </si>
  <si>
    <t>A4</t>
  </si>
  <si>
    <t>AISI</t>
  </si>
  <si>
    <t>ISO material</t>
  </si>
  <si>
    <t>400 serial</t>
  </si>
  <si>
    <t>SS Steel bolts according to ISO 3506-1979</t>
  </si>
  <si>
    <t>Texture</t>
  </si>
  <si>
    <t>Austenitic</t>
  </si>
  <si>
    <t>Martensitic</t>
  </si>
  <si>
    <t>Composition</t>
  </si>
  <si>
    <t>ISO SS Bolts According to ISO 3506-1979</t>
  </si>
  <si>
    <t>50</t>
  </si>
  <si>
    <t>70</t>
  </si>
  <si>
    <t>80</t>
  </si>
  <si>
    <t>Property Class</t>
  </si>
  <si>
    <t>Load on  rig</t>
  </si>
  <si>
    <t>Load on  chainplate</t>
  </si>
  <si>
    <t>Transversal rig element and arrangement</t>
  </si>
  <si>
    <t>One set of spreader D1 single</t>
  </si>
  <si>
    <t>One set of spreader D1 double  fore/aft</t>
  </si>
  <si>
    <t>One set of spreader V1 transversal spreaders</t>
  </si>
  <si>
    <t>One set of spreader V1 aft sweapt spreaders</t>
  </si>
  <si>
    <t>2 or 3 sets of spreader V1</t>
  </si>
  <si>
    <t>2 or 3 sets of spreader V1 aft sweapt spreaders</t>
  </si>
  <si>
    <t>2 or 3 sets of spreader D1 single</t>
  </si>
  <si>
    <t>2 or 3 sets of spreader D1 double  fore/aft</t>
  </si>
  <si>
    <t>Headstay Masthead rig</t>
  </si>
  <si>
    <t>Headstay Fractional rig</t>
  </si>
  <si>
    <t>Load connection  chainplate/Structure</t>
  </si>
  <si>
    <t>Backstay Masthead rig</t>
  </si>
  <si>
    <t>0,43 lb/lh</t>
  </si>
  <si>
    <t xml:space="preserve">Transversal </t>
  </si>
  <si>
    <t xml:space="preserve">Longitudinal </t>
  </si>
  <si>
    <t>Mat step</t>
  </si>
  <si>
    <t>0,86 lb/lh</t>
  </si>
  <si>
    <t>Material</t>
  </si>
  <si>
    <t>ISO or other</t>
  </si>
  <si>
    <r>
      <t>s</t>
    </r>
    <r>
      <rPr>
        <b/>
        <sz val="10"/>
        <rFont val="Times New Roman"/>
        <family val="0"/>
      </rPr>
      <t>d</t>
    </r>
  </si>
  <si>
    <r>
      <t>s</t>
    </r>
    <r>
      <rPr>
        <b/>
        <sz val="10"/>
        <rFont val="Times New Roman"/>
        <family val="0"/>
      </rPr>
      <t xml:space="preserve">d </t>
    </r>
    <r>
      <rPr>
        <sz val="10"/>
        <rFont val="Times New Roman"/>
        <family val="1"/>
      </rPr>
      <t>welded</t>
    </r>
  </si>
  <si>
    <r>
      <t>s</t>
    </r>
    <r>
      <rPr>
        <b/>
        <sz val="10"/>
        <rFont val="Times New Roman"/>
        <family val="0"/>
      </rPr>
      <t>y</t>
    </r>
  </si>
  <si>
    <r>
      <t>s</t>
    </r>
    <r>
      <rPr>
        <b/>
        <sz val="10"/>
        <rFont val="Times New Roman"/>
        <family val="0"/>
      </rPr>
      <t>u</t>
    </r>
  </si>
  <si>
    <r>
      <t>s</t>
    </r>
    <r>
      <rPr>
        <b/>
        <sz val="10"/>
        <rFont val="Times New Roman"/>
        <family val="0"/>
      </rPr>
      <t>du</t>
    </r>
  </si>
  <si>
    <r>
      <t>s</t>
    </r>
    <r>
      <rPr>
        <b/>
        <sz val="10"/>
        <rFont val="Times New Roman"/>
        <family val="0"/>
      </rPr>
      <t>dy</t>
    </r>
  </si>
  <si>
    <t>Stainless Steels</t>
  </si>
  <si>
    <t xml:space="preserve"> </t>
  </si>
  <si>
    <t>AISI 304</t>
  </si>
  <si>
    <t>AISI 316, 316 L</t>
  </si>
  <si>
    <t>17-4 PH, F16 PH</t>
  </si>
  <si>
    <t>ASTM 630, Type a</t>
  </si>
  <si>
    <t xml:space="preserve"> NR</t>
  </si>
  <si>
    <t>DX45, Uranus</t>
  </si>
  <si>
    <t>Mild Steel</t>
  </si>
  <si>
    <t>A42</t>
  </si>
  <si>
    <t>Aluminium Alloys</t>
  </si>
  <si>
    <t>5083 H 111</t>
  </si>
  <si>
    <t>6005 A T6 d=&lt;50 mm</t>
  </si>
  <si>
    <t>6005 A T6 d&gt;50 mm</t>
  </si>
  <si>
    <t xml:space="preserve">6061 T6 </t>
  </si>
  <si>
    <t>6082 T6</t>
  </si>
  <si>
    <t>Titanium Alloys</t>
  </si>
  <si>
    <t>UTA 6V</t>
  </si>
  <si>
    <t>NR</t>
  </si>
  <si>
    <t>Copper Alloys</t>
  </si>
  <si>
    <t>Bronze-Manganese</t>
  </si>
  <si>
    <t>Bronze-Ni-Al</t>
  </si>
  <si>
    <t>Monel 400</t>
  </si>
  <si>
    <t>Monel 500</t>
  </si>
  <si>
    <r>
      <t>s</t>
    </r>
    <r>
      <rPr>
        <b/>
        <sz val="10"/>
        <rFont val="Times New Roman"/>
        <family val="0"/>
      </rPr>
      <t xml:space="preserve">d </t>
    </r>
    <r>
      <rPr>
        <sz val="10"/>
        <rFont val="Times New Roman"/>
        <family val="1"/>
      </rPr>
      <t>bearing</t>
    </r>
  </si>
  <si>
    <t xml:space="preserve">Design </t>
  </si>
  <si>
    <t>Ultimate</t>
  </si>
  <si>
    <t xml:space="preserve"> load</t>
  </si>
  <si>
    <t>da N</t>
  </si>
  <si>
    <t>Cast Iron for ballast keel</t>
  </si>
  <si>
    <t>EN-GJL -150</t>
  </si>
  <si>
    <t>ISO 185/JL/150</t>
  </si>
  <si>
    <t>Pure Lead</t>
  </si>
  <si>
    <t>Lead with 1% Antimony</t>
  </si>
  <si>
    <t>Lead 96 % with 4 % Antimony (Hard Lead)</t>
  </si>
  <si>
    <t>Lead - Antimony Alloys</t>
  </si>
  <si>
    <t>A2 Bolts and screws</t>
  </si>
  <si>
    <t>A4 Bolts and screws</t>
  </si>
  <si>
    <t>C1 to C4</t>
  </si>
  <si>
    <t>SS wire*</t>
  </si>
  <si>
    <t>RIG</t>
  </si>
  <si>
    <t>thickness</t>
  </si>
  <si>
    <t>P</t>
  </si>
  <si>
    <t>width</t>
  </si>
  <si>
    <t>M</t>
  </si>
  <si>
    <t>SS  Chainplate dimensions</t>
  </si>
  <si>
    <t xml:space="preserve">Pin </t>
  </si>
  <si>
    <t>Tensile</t>
  </si>
  <si>
    <t>Bearing</t>
  </si>
  <si>
    <t>Shear</t>
  </si>
  <si>
    <r>
      <t>s</t>
    </r>
    <r>
      <rPr>
        <vertAlign val="subscript"/>
        <sz val="10"/>
        <rFont val="Arial"/>
        <family val="2"/>
      </rPr>
      <t xml:space="preserve">u </t>
    </r>
    <r>
      <rPr>
        <sz val="8"/>
        <rFont val="Arial"/>
        <family val="2"/>
      </rPr>
      <t>(N/mm²)</t>
    </r>
  </si>
  <si>
    <r>
      <t>s</t>
    </r>
    <r>
      <rPr>
        <vertAlign val="subscript"/>
        <sz val="10"/>
        <rFont val="Arial"/>
        <family val="2"/>
      </rPr>
      <t xml:space="preserve">b </t>
    </r>
    <r>
      <rPr>
        <sz val="8"/>
        <rFont val="Arial"/>
        <family val="2"/>
      </rPr>
      <t>(N/mm²)</t>
    </r>
  </si>
  <si>
    <r>
      <t>t</t>
    </r>
    <r>
      <rPr>
        <vertAlign val="subscript"/>
        <sz val="10"/>
        <rFont val="Arial"/>
        <family val="2"/>
      </rPr>
      <t xml:space="preserve">u </t>
    </r>
    <r>
      <rPr>
        <sz val="8"/>
        <rFont val="Arial"/>
        <family val="2"/>
      </rPr>
      <t>(N/mm²)</t>
    </r>
  </si>
  <si>
    <t>approx d</t>
  </si>
  <si>
    <t>Alu 5083  Chainplate dimensions</t>
  </si>
  <si>
    <t>Do</t>
  </si>
  <si>
    <t>SS bushing</t>
  </si>
  <si>
    <t>No bushing</t>
  </si>
  <si>
    <t>Ru Chainplate / Ru Rig  &gt;1,5</t>
  </si>
  <si>
    <t>0,65 lb/lh</t>
  </si>
  <si>
    <t>1,29 lb/lh</t>
  </si>
  <si>
    <t>1,1 lb/lh</t>
  </si>
  <si>
    <t>4,2 lb/lh</t>
  </si>
  <si>
    <t>Ratio between load and design Load on the rig</t>
  </si>
  <si>
    <r>
      <t>k</t>
    </r>
    <r>
      <rPr>
        <b/>
        <i/>
        <vertAlign val="subscript"/>
        <sz val="12"/>
        <rFont val="Arial"/>
        <family val="2"/>
      </rPr>
      <t>rn</t>
    </r>
  </si>
  <si>
    <r>
      <t>k</t>
    </r>
    <r>
      <rPr>
        <b/>
        <i/>
        <vertAlign val="subscript"/>
        <sz val="12"/>
        <rFont val="Arial"/>
        <family val="2"/>
      </rPr>
      <t>ru</t>
    </r>
  </si>
  <si>
    <r>
      <t>k</t>
    </r>
    <r>
      <rPr>
        <b/>
        <i/>
        <vertAlign val="subscript"/>
        <sz val="12"/>
        <rFont val="Arial"/>
        <family val="2"/>
      </rPr>
      <t>cu</t>
    </r>
  </si>
  <si>
    <r>
      <t>k</t>
    </r>
    <r>
      <rPr>
        <b/>
        <i/>
        <vertAlign val="subscript"/>
        <sz val="12"/>
        <rFont val="Arial"/>
        <family val="2"/>
      </rPr>
      <t>cn</t>
    </r>
  </si>
  <si>
    <r>
      <t>k</t>
    </r>
    <r>
      <rPr>
        <b/>
        <i/>
        <vertAlign val="subscript"/>
        <sz val="12"/>
        <rFont val="Arial"/>
        <family val="2"/>
      </rPr>
      <t>sn</t>
    </r>
  </si>
  <si>
    <r>
      <t>k</t>
    </r>
    <r>
      <rPr>
        <b/>
        <i/>
        <vertAlign val="subscript"/>
        <sz val="12"/>
        <rFont val="Arial"/>
        <family val="2"/>
      </rPr>
      <t>su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</si>
</sst>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.0"/>
    <numFmt numFmtId="177" formatCode="General_)"/>
    <numFmt numFmtId="178" formatCode="#,##0.000"/>
    <numFmt numFmtId="179" formatCode="0.0"/>
    <numFmt numFmtId="180" formatCode="0.0_)"/>
    <numFmt numFmtId="181" formatCode="0.000_)"/>
    <numFmt numFmtId="182" formatCode="0.0000_)"/>
    <numFmt numFmtId="183" formatCode="#,##0.0000"/>
    <numFmt numFmtId="184" formatCode="#,##0.00000"/>
    <numFmt numFmtId="185" formatCode="0.000"/>
    <numFmt numFmtId="186" formatCode="0_)"/>
    <numFmt numFmtId="187" formatCode="0.00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0000000"/>
    <numFmt numFmtId="194" formatCode="0.000000000"/>
    <numFmt numFmtId="195" formatCode="0.00E+0"/>
    <numFmt numFmtId="196" formatCode="0.0E+00"/>
    <numFmt numFmtId="197" formatCode="#,##0.000;[Red]\-#,##0.000"/>
    <numFmt numFmtId="198" formatCode="0E+00"/>
    <numFmt numFmtId="199" formatCode="0.E+00"/>
    <numFmt numFmtId="200" formatCode="0.0.E+00"/>
    <numFmt numFmtId="201" formatCode="0.00.E+00"/>
    <numFmt numFmtId="202" formatCode="0.000.E+00"/>
    <numFmt numFmtId="203" formatCode="0.0000.E+00"/>
    <numFmt numFmtId="204" formatCode="&quot;Vrai&quot;;&quot;Vrai&quot;;&quot;Faux&quot;"/>
    <numFmt numFmtId="205" formatCode="&quot;Actif&quot;;&quot;Actif&quot;;&quot;Inactif&quot;"/>
  </numFmts>
  <fonts count="39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sz val="9"/>
      <name val="Times New Roman"/>
      <family val="1"/>
    </font>
    <font>
      <sz val="10"/>
      <name val="Symbol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0"/>
      <color indexed="10"/>
      <name val="Times New Roman"/>
      <family val="1"/>
    </font>
    <font>
      <sz val="10"/>
      <color indexed="10"/>
      <name val="Symbol"/>
      <family val="1"/>
    </font>
    <font>
      <sz val="10"/>
      <color indexed="12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12"/>
      <name val="Times New Roman"/>
      <family val="0"/>
    </font>
    <font>
      <b/>
      <sz val="9"/>
      <name val="Times New Roman"/>
      <family val="0"/>
    </font>
    <font>
      <sz val="9"/>
      <color indexed="10"/>
      <name val="Times New Roman"/>
      <family val="0"/>
    </font>
    <font>
      <sz val="10"/>
      <color indexed="12"/>
      <name val="Symbol"/>
      <family val="1"/>
    </font>
    <font>
      <sz val="8"/>
      <color indexed="10"/>
      <name val="Times New Roman"/>
      <family val="1"/>
    </font>
    <font>
      <sz val="10"/>
      <color indexed="56"/>
      <name val="Times New Roman"/>
      <family val="1"/>
    </font>
    <font>
      <b/>
      <sz val="11"/>
      <color indexed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vertAlign val="subscript"/>
      <sz val="10"/>
      <name val="Arial"/>
      <family val="2"/>
    </font>
    <font>
      <i/>
      <sz val="8"/>
      <name val="Arial"/>
      <family val="2"/>
    </font>
    <font>
      <b/>
      <sz val="10"/>
      <name val="Symbol"/>
      <family val="1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b/>
      <i/>
      <vertAlign val="subscript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2">
    <xf numFmtId="0" fontId="0" fillId="0" borderId="0" xfId="0" applyAlignment="1">
      <alignment/>
    </xf>
    <xf numFmtId="4" fontId="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0" fillId="0" borderId="2" xfId="0" applyNumberFormat="1" applyFont="1" applyBorder="1" applyAlignment="1">
      <alignment horizontal="left"/>
    </xf>
    <xf numFmtId="4" fontId="0" fillId="0" borderId="3" xfId="0" applyNumberFormat="1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176" fontId="0" fillId="0" borderId="3" xfId="0" applyNumberFormat="1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4" fontId="0" fillId="0" borderId="4" xfId="0" applyNumberFormat="1" applyFont="1" applyBorder="1" applyAlignment="1">
      <alignment horizontal="centerContinuous"/>
    </xf>
    <xf numFmtId="4" fontId="0" fillId="0" borderId="4" xfId="0" applyNumberFormat="1" applyFont="1" applyBorder="1" applyAlignment="1">
      <alignment horizontal="left"/>
    </xf>
    <xf numFmtId="4" fontId="0" fillId="0" borderId="3" xfId="0" applyNumberFormat="1" applyFont="1" applyBorder="1" applyAlignment="1">
      <alignment horizontal="left"/>
    </xf>
    <xf numFmtId="0" fontId="0" fillId="0" borderId="5" xfId="0" applyBorder="1" applyAlignment="1">
      <alignment/>
    </xf>
    <xf numFmtId="4" fontId="0" fillId="0" borderId="5" xfId="0" applyNumberFormat="1" applyFont="1" applyBorder="1" applyAlignment="1">
      <alignment horizontal="centerContinuous"/>
    </xf>
    <xf numFmtId="4" fontId="0" fillId="0" borderId="6" xfId="0" applyNumberFormat="1" applyFont="1" applyBorder="1" applyAlignment="1">
      <alignment horizontal="centerContinuous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4" fontId="0" fillId="0" borderId="2" xfId="0" applyNumberFormat="1" applyFont="1" applyBorder="1" applyAlignment="1">
      <alignment horizontal="left" vertical="center"/>
    </xf>
    <xf numFmtId="4" fontId="8" fillId="0" borderId="1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Continuous" vertic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3" fontId="13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4" xfId="0" applyBorder="1" applyAlignment="1">
      <alignment horizontal="centerContinuous"/>
    </xf>
    <xf numFmtId="176" fontId="0" fillId="0" borderId="1" xfId="0" applyNumberFormat="1" applyFont="1" applyBorder="1" applyAlignment="1">
      <alignment horizontal="centerContinuous" vertical="center"/>
    </xf>
    <xf numFmtId="3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horizontal="centerContinuous" vertical="center"/>
    </xf>
    <xf numFmtId="3" fontId="0" fillId="0" borderId="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Continuous"/>
    </xf>
    <xf numFmtId="176" fontId="0" fillId="0" borderId="5" xfId="0" applyNumberFormat="1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4" fontId="5" fillId="0" borderId="2" xfId="0" applyNumberFormat="1" applyFont="1" applyBorder="1" applyAlignment="1" applyProtection="1">
      <alignment horizontal="centerContinuous" vertical="center"/>
      <protection/>
    </xf>
    <xf numFmtId="3" fontId="0" fillId="0" borderId="14" xfId="0" applyNumberFormat="1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4" fontId="0" fillId="0" borderId="12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Continuous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/>
    </xf>
    <xf numFmtId="4" fontId="0" fillId="0" borderId="3" xfId="0" applyNumberFormat="1" applyFont="1" applyBorder="1" applyAlignment="1" applyProtection="1">
      <alignment horizontal="centerContinuous"/>
      <protection locked="0"/>
    </xf>
    <xf numFmtId="0" fontId="0" fillId="0" borderId="3" xfId="0" applyFont="1" applyBorder="1" applyAlignment="1" applyProtection="1">
      <alignment horizontal="centerContinuous"/>
      <protection locked="0"/>
    </xf>
    <xf numFmtId="0" fontId="0" fillId="0" borderId="3" xfId="0" applyFont="1" applyBorder="1" applyAlignment="1" applyProtection="1">
      <alignment horizontal="centerContinuous" vertical="center"/>
      <protection locked="0"/>
    </xf>
    <xf numFmtId="176" fontId="0" fillId="0" borderId="3" xfId="0" applyNumberFormat="1" applyFont="1" applyBorder="1" applyAlignment="1" applyProtection="1">
      <alignment horizontal="centerContinuous" vertical="center"/>
      <protection locked="0"/>
    </xf>
    <xf numFmtId="4" fontId="0" fillId="0" borderId="1" xfId="0" applyNumberFormat="1" applyFont="1" applyBorder="1" applyAlignment="1" applyProtection="1">
      <alignment horizontal="left" vertical="center"/>
      <protection locked="0"/>
    </xf>
    <xf numFmtId="4" fontId="0" fillId="0" borderId="3" xfId="0" applyNumberFormat="1" applyFont="1" applyBorder="1" applyAlignment="1" applyProtection="1">
      <alignment horizontal="centerContinuous" vertical="center"/>
      <protection locked="0"/>
    </xf>
    <xf numFmtId="4" fontId="0" fillId="0" borderId="1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176" fontId="8" fillId="0" borderId="1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 applyProtection="1">
      <alignment horizontal="left"/>
      <protection/>
    </xf>
    <xf numFmtId="0" fontId="0" fillId="0" borderId="3" xfId="0" applyBorder="1" applyAlignment="1">
      <alignment horizontal="centerContinuous"/>
    </xf>
    <xf numFmtId="3" fontId="0" fillId="0" borderId="1" xfId="0" applyNumberFormat="1" applyFont="1" applyBorder="1" applyAlignment="1">
      <alignment horizontal="left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176" fontId="0" fillId="0" borderId="5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left" vertical="center"/>
    </xf>
    <xf numFmtId="176" fontId="0" fillId="0" borderId="6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/>
    </xf>
    <xf numFmtId="176" fontId="0" fillId="0" borderId="6" xfId="0" applyNumberFormat="1" applyFont="1" applyBorder="1" applyAlignment="1">
      <alignment horizontal="centerContinuous" vertical="center"/>
    </xf>
    <xf numFmtId="4" fontId="0" fillId="0" borderId="2" xfId="0" applyNumberFormat="1" applyFont="1" applyBorder="1" applyAlignment="1">
      <alignment horizontal="right" vertical="center"/>
    </xf>
    <xf numFmtId="185" fontId="15" fillId="0" borderId="1" xfId="0" applyNumberFormat="1" applyFont="1" applyBorder="1" applyAlignment="1">
      <alignment horizontal="center" vertical="center"/>
    </xf>
    <xf numFmtId="185" fontId="8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2" fontId="15" fillId="0" borderId="1" xfId="0" applyNumberFormat="1" applyFont="1" applyBorder="1" applyAlignment="1" applyProtection="1">
      <alignment horizontal="center" vertical="center"/>
      <protection locked="0"/>
    </xf>
    <xf numFmtId="4" fontId="0" fillId="0" borderId="3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center" vertical="center"/>
    </xf>
    <xf numFmtId="185" fontId="13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/>
    </xf>
    <xf numFmtId="2" fontId="15" fillId="0" borderId="1" xfId="0" applyNumberFormat="1" applyFont="1" applyBorder="1" applyAlignment="1" applyProtection="1">
      <alignment horizontal="center" vertical="center"/>
      <protection/>
    </xf>
    <xf numFmtId="181" fontId="15" fillId="0" borderId="1" xfId="0" applyNumberFormat="1" applyFont="1" applyBorder="1" applyAlignment="1" applyProtection="1">
      <alignment horizontal="center" vertical="center"/>
      <protection locked="0"/>
    </xf>
    <xf numFmtId="3" fontId="15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5" fillId="0" borderId="4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4" fontId="5" fillId="0" borderId="19" xfId="0" applyNumberFormat="1" applyFont="1" applyBorder="1" applyAlignment="1" applyProtection="1">
      <alignment horizontal="left" vertical="center"/>
      <protection/>
    </xf>
    <xf numFmtId="0" fontId="5" fillId="0" borderId="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4" fontId="0" fillId="0" borderId="0" xfId="0" applyNumberFormat="1" applyFont="1" applyAlignment="1">
      <alignment/>
    </xf>
    <xf numFmtId="0" fontId="0" fillId="0" borderId="2" xfId="0" applyFont="1" applyBorder="1" applyAlignment="1" applyProtection="1">
      <alignment horizontal="left" vertical="center"/>
      <protection/>
    </xf>
    <xf numFmtId="0" fontId="5" fillId="1" borderId="19" xfId="0" applyFont="1" applyFill="1" applyBorder="1" applyAlignment="1">
      <alignment vertical="center"/>
    </xf>
    <xf numFmtId="0" fontId="0" fillId="1" borderId="9" xfId="0" applyFill="1" applyBorder="1" applyAlignment="1">
      <alignment vertical="center"/>
    </xf>
    <xf numFmtId="0" fontId="0" fillId="1" borderId="9" xfId="0" applyFont="1" applyFill="1" applyBorder="1" applyAlignment="1">
      <alignment vertical="center"/>
    </xf>
    <xf numFmtId="0" fontId="0" fillId="1" borderId="20" xfId="0" applyFont="1" applyFill="1" applyBorder="1" applyAlignment="1">
      <alignment vertical="center"/>
    </xf>
    <xf numFmtId="4" fontId="5" fillId="0" borderId="2" xfId="0" applyNumberFormat="1" applyFont="1" applyBorder="1" applyAlignment="1" applyProtection="1">
      <alignment horizontal="left"/>
      <protection/>
    </xf>
    <xf numFmtId="4" fontId="5" fillId="0" borderId="21" xfId="0" applyNumberFormat="1" applyFont="1" applyBorder="1" applyAlignment="1" applyProtection="1">
      <alignment horizontal="left"/>
      <protection/>
    </xf>
    <xf numFmtId="4" fontId="5" fillId="0" borderId="22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0" fontId="8" fillId="0" borderId="3" xfId="0" applyFont="1" applyBorder="1" applyAlignment="1">
      <alignment vertical="center"/>
    </xf>
    <xf numFmtId="0" fontId="13" fillId="0" borderId="1" xfId="0" applyFont="1" applyBorder="1" applyAlignment="1" applyProtection="1">
      <alignment horizontal="left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0" fillId="0" borderId="3" xfId="0" applyBorder="1" applyAlignment="1">
      <alignment vertical="center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  <protection/>
    </xf>
    <xf numFmtId="3" fontId="10" fillId="0" borderId="19" xfId="0" applyNumberFormat="1" applyFont="1" applyBorder="1" applyAlignment="1" applyProtection="1">
      <alignment horizontal="left" vertical="center"/>
      <protection locked="0"/>
    </xf>
    <xf numFmtId="2" fontId="8" fillId="0" borderId="9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/>
    </xf>
    <xf numFmtId="0" fontId="0" fillId="0" borderId="20" xfId="0" applyBorder="1" applyAlignment="1">
      <alignment/>
    </xf>
    <xf numFmtId="4" fontId="15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3" fontId="10" fillId="0" borderId="9" xfId="0" applyNumberFormat="1" applyFont="1" applyBorder="1" applyAlignment="1" applyProtection="1">
      <alignment horizontal="left" vertical="center"/>
      <protection locked="0"/>
    </xf>
    <xf numFmtId="4" fontId="13" fillId="0" borderId="24" xfId="0" applyNumberFormat="1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10" fillId="0" borderId="27" xfId="0" applyNumberFormat="1" applyFont="1" applyBorder="1" applyAlignment="1" applyProtection="1">
      <alignment horizontal="left" vertical="center"/>
      <protection locked="0"/>
    </xf>
    <xf numFmtId="2" fontId="8" fillId="0" borderId="27" xfId="0" applyNumberFormat="1" applyFont="1" applyBorder="1" applyAlignment="1" applyProtection="1">
      <alignment horizontal="center" vertical="center"/>
      <protection locked="0"/>
    </xf>
    <xf numFmtId="3" fontId="8" fillId="0" borderId="27" xfId="0" applyNumberFormat="1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>
      <alignment/>
    </xf>
    <xf numFmtId="3" fontId="10" fillId="0" borderId="0" xfId="0" applyNumberFormat="1" applyFont="1" applyBorder="1" applyAlignment="1" applyProtection="1">
      <alignment horizontal="left" vertical="center"/>
      <protection locked="0"/>
    </xf>
    <xf numFmtId="2" fontId="8" fillId="0" borderId="0" xfId="0" applyNumberFormat="1" applyFont="1" applyBorder="1" applyAlignment="1" applyProtection="1">
      <alignment horizontal="center" vertical="center"/>
      <protection locked="0"/>
    </xf>
    <xf numFmtId="3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lef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right"/>
      <protection locked="0"/>
    </xf>
    <xf numFmtId="4" fontId="15" fillId="0" borderId="1" xfId="0" applyNumberFormat="1" applyFont="1" applyBorder="1" applyAlignment="1" applyProtection="1">
      <alignment horizontal="right"/>
      <protection/>
    </xf>
    <xf numFmtId="4" fontId="17" fillId="0" borderId="1" xfId="0" applyNumberFormat="1" applyFont="1" applyBorder="1" applyAlignment="1" applyProtection="1">
      <alignment horizontal="right"/>
      <protection/>
    </xf>
    <xf numFmtId="4" fontId="15" fillId="0" borderId="31" xfId="0" applyNumberFormat="1" applyFont="1" applyBorder="1" applyAlignment="1">
      <alignment horizontal="right"/>
    </xf>
    <xf numFmtId="4" fontId="15" fillId="0" borderId="32" xfId="0" applyNumberFormat="1" applyFont="1" applyBorder="1" applyAlignment="1" applyProtection="1">
      <alignment horizontal="right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1" xfId="0" applyNumberFormat="1" applyFont="1" applyBorder="1" applyAlignment="1" applyProtection="1">
      <alignment horizontal="right"/>
      <protection/>
    </xf>
    <xf numFmtId="4" fontId="15" fillId="0" borderId="31" xfId="0" applyNumberFormat="1" applyFont="1" applyBorder="1" applyAlignment="1" applyProtection="1">
      <alignment horizontal="right"/>
      <protection locked="0"/>
    </xf>
    <xf numFmtId="4" fontId="15" fillId="0" borderId="32" xfId="0" applyNumberFormat="1" applyFont="1" applyBorder="1" applyAlignment="1" applyProtection="1">
      <alignment horizontal="right"/>
      <protection/>
    </xf>
    <xf numFmtId="1" fontId="10" fillId="0" borderId="2" xfId="0" applyNumberFormat="1" applyFont="1" applyBorder="1" applyAlignment="1" applyProtection="1">
      <alignment horizontal="center" vertical="center"/>
      <protection locked="0"/>
    </xf>
    <xf numFmtId="1" fontId="10" fillId="0" borderId="4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left" vertical="center"/>
      <protection/>
    </xf>
    <xf numFmtId="1" fontId="10" fillId="0" borderId="34" xfId="0" applyNumberFormat="1" applyFont="1" applyBorder="1" applyAlignment="1" applyProtection="1">
      <alignment horizontal="center" vertical="center"/>
      <protection locked="0"/>
    </xf>
    <xf numFmtId="1" fontId="10" fillId="0" borderId="35" xfId="0" applyNumberFormat="1" applyFont="1" applyBorder="1" applyAlignment="1" applyProtection="1">
      <alignment horizontal="center" vertical="center"/>
      <protection locked="0"/>
    </xf>
    <xf numFmtId="1" fontId="10" fillId="0" borderId="36" xfId="0" applyNumberFormat="1" applyFont="1" applyBorder="1" applyAlignment="1" applyProtection="1">
      <alignment horizontal="center" vertical="center"/>
      <protection locked="0"/>
    </xf>
    <xf numFmtId="3" fontId="15" fillId="0" borderId="34" xfId="0" applyNumberFormat="1" applyFont="1" applyBorder="1" applyAlignment="1" applyProtection="1">
      <alignment horizontal="right"/>
      <protection locked="0"/>
    </xf>
    <xf numFmtId="4" fontId="15" fillId="0" borderId="37" xfId="0" applyNumberFormat="1" applyFont="1" applyBorder="1" applyAlignment="1" applyProtection="1">
      <alignment horizontal="right"/>
      <protection/>
    </xf>
    <xf numFmtId="3" fontId="0" fillId="0" borderId="28" xfId="0" applyNumberFormat="1" applyFont="1" applyBorder="1" applyAlignment="1" applyProtection="1">
      <alignment horizontal="center"/>
      <protection/>
    </xf>
    <xf numFmtId="4" fontId="0" fillId="0" borderId="28" xfId="0" applyNumberFormat="1" applyFont="1" applyBorder="1" applyAlignment="1" applyProtection="1">
      <alignment horizontal="center"/>
      <protection/>
    </xf>
    <xf numFmtId="0" fontId="5" fillId="0" borderId="26" xfId="0" applyFont="1" applyBorder="1" applyAlignment="1">
      <alignment/>
    </xf>
    <xf numFmtId="0" fontId="5" fillId="0" borderId="25" xfId="0" applyFont="1" applyBorder="1" applyAlignment="1">
      <alignment/>
    </xf>
    <xf numFmtId="4" fontId="0" fillId="0" borderId="33" xfId="0" applyNumberFormat="1" applyFont="1" applyBorder="1" applyAlignment="1" applyProtection="1">
      <alignment horizontal="left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3" fontId="15" fillId="0" borderId="34" xfId="0" applyNumberFormat="1" applyFont="1" applyBorder="1" applyAlignment="1" applyProtection="1">
      <alignment horizontal="center"/>
      <protection locked="0"/>
    </xf>
    <xf numFmtId="4" fontId="15" fillId="0" borderId="34" xfId="0" applyNumberFormat="1" applyFont="1" applyBorder="1" applyAlignment="1" applyProtection="1">
      <alignment horizontal="center"/>
      <protection/>
    </xf>
    <xf numFmtId="4" fontId="17" fillId="0" borderId="32" xfId="0" applyNumberFormat="1" applyFont="1" applyBorder="1" applyAlignment="1" applyProtection="1">
      <alignment horizontal="center"/>
      <protection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4" fontId="17" fillId="0" borderId="40" xfId="0" applyNumberFormat="1" applyFont="1" applyBorder="1" applyAlignment="1" applyProtection="1">
      <alignment horizontal="center"/>
      <protection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0" fontId="9" fillId="0" borderId="42" xfId="0" applyFont="1" applyBorder="1" applyAlignment="1" applyProtection="1">
      <alignment horizontal="center" vertical="center"/>
      <protection/>
    </xf>
    <xf numFmtId="4" fontId="15" fillId="0" borderId="1" xfId="0" applyNumberFormat="1" applyFont="1" applyBorder="1" applyAlignment="1" applyProtection="1">
      <alignment horizontal="center"/>
      <protection/>
    </xf>
    <xf numFmtId="3" fontId="15" fillId="0" borderId="1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>
      <alignment/>
    </xf>
    <xf numFmtId="3" fontId="15" fillId="0" borderId="5" xfId="0" applyNumberFormat="1" applyFont="1" applyBorder="1" applyAlignment="1" applyProtection="1">
      <alignment horizontal="center"/>
      <protection locked="0"/>
    </xf>
    <xf numFmtId="4" fontId="15" fillId="0" borderId="1" xfId="0" applyNumberFormat="1" applyFont="1" applyBorder="1" applyAlignment="1" applyProtection="1">
      <alignment horizontal="center"/>
      <protection locked="0"/>
    </xf>
    <xf numFmtId="4" fontId="15" fillId="0" borderId="27" xfId="0" applyNumberFormat="1" applyFont="1" applyBorder="1" applyAlignment="1" applyProtection="1">
      <alignment horizontal="left"/>
      <protection/>
    </xf>
    <xf numFmtId="0" fontId="0" fillId="0" borderId="28" xfId="0" applyBorder="1" applyAlignment="1">
      <alignment horizontal="center"/>
    </xf>
    <xf numFmtId="3" fontId="15" fillId="0" borderId="28" xfId="0" applyNumberFormat="1" applyFont="1" applyBorder="1" applyAlignment="1" applyProtection="1">
      <alignment horizontal="center"/>
      <protection/>
    </xf>
    <xf numFmtId="3" fontId="0" fillId="0" borderId="28" xfId="0" applyNumberFormat="1" applyBorder="1" applyAlignment="1">
      <alignment horizontal="center"/>
    </xf>
    <xf numFmtId="3" fontId="15" fillId="0" borderId="29" xfId="0" applyNumberFormat="1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3" fontId="15" fillId="0" borderId="0" xfId="0" applyNumberFormat="1" applyFont="1" applyBorder="1" applyAlignment="1" applyProtection="1">
      <alignment horizontal="center"/>
      <protection locked="0"/>
    </xf>
    <xf numFmtId="4" fontId="15" fillId="0" borderId="41" xfId="0" applyNumberFormat="1" applyFont="1" applyBorder="1" applyAlignment="1" applyProtection="1">
      <alignment horizontal="center"/>
      <protection/>
    </xf>
    <xf numFmtId="0" fontId="0" fillId="0" borderId="34" xfId="0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15" fillId="0" borderId="37" xfId="0" applyNumberFormat="1" applyFont="1" applyBorder="1" applyAlignment="1" applyProtection="1">
      <alignment horizontal="center"/>
      <protection locked="0"/>
    </xf>
    <xf numFmtId="0" fontId="0" fillId="0" borderId="44" xfId="0" applyBorder="1" applyAlignment="1">
      <alignment/>
    </xf>
    <xf numFmtId="3" fontId="10" fillId="0" borderId="6" xfId="0" applyNumberFormat="1" applyFont="1" applyBorder="1" applyAlignment="1" applyProtection="1">
      <alignment horizontal="left" vertical="center"/>
      <protection locked="0"/>
    </xf>
    <xf numFmtId="2" fontId="8" fillId="0" borderId="6" xfId="0" applyNumberFormat="1" applyFont="1" applyBorder="1" applyAlignment="1" applyProtection="1">
      <alignment horizontal="center" vertical="center"/>
      <protection locked="0"/>
    </xf>
    <xf numFmtId="4" fontId="17" fillId="0" borderId="34" xfId="0" applyNumberFormat="1" applyFont="1" applyBorder="1" applyAlignment="1" applyProtection="1">
      <alignment horizontal="center"/>
      <protection/>
    </xf>
    <xf numFmtId="4" fontId="17" fillId="0" borderId="37" xfId="0" applyNumberFormat="1" applyFont="1" applyBorder="1" applyAlignment="1" applyProtection="1">
      <alignment horizontal="center"/>
      <protection/>
    </xf>
    <xf numFmtId="0" fontId="18" fillId="0" borderId="30" xfId="0" applyFont="1" applyBorder="1" applyAlignment="1">
      <alignment/>
    </xf>
    <xf numFmtId="0" fontId="18" fillId="0" borderId="38" xfId="0" applyFont="1" applyBorder="1" applyAlignment="1">
      <alignment/>
    </xf>
    <xf numFmtId="0" fontId="9" fillId="0" borderId="1" xfId="0" applyFont="1" applyBorder="1" applyAlignment="1" applyProtection="1">
      <alignment horizontal="left" vertical="center"/>
      <protection/>
    </xf>
    <xf numFmtId="1" fontId="13" fillId="0" borderId="1" xfId="0" applyNumberFormat="1" applyFont="1" applyBorder="1" applyAlignment="1" applyProtection="1">
      <alignment horizontal="center" vertical="center"/>
      <protection locked="0"/>
    </xf>
    <xf numFmtId="3" fontId="19" fillId="0" borderId="1" xfId="0" applyNumberFormat="1" applyFont="1" applyBorder="1" applyAlignment="1" applyProtection="1">
      <alignment horizontal="center" vertical="center"/>
      <protection locked="0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4" fontId="13" fillId="0" borderId="1" xfId="0" applyNumberFormat="1" applyFont="1" applyBorder="1" applyAlignment="1" applyProtection="1">
      <alignment horizontal="center"/>
      <protection/>
    </xf>
    <xf numFmtId="3" fontId="9" fillId="0" borderId="19" xfId="0" applyNumberFormat="1" applyFont="1" applyBorder="1" applyAlignment="1" applyProtection="1">
      <alignment horizontal="left" vertical="center"/>
      <protection locked="0"/>
    </xf>
    <xf numFmtId="2" fontId="13" fillId="0" borderId="9" xfId="0" applyNumberFormat="1" applyFont="1" applyBorder="1" applyAlignment="1" applyProtection="1">
      <alignment horizontal="center" vertical="center"/>
      <protection locked="0"/>
    </xf>
    <xf numFmtId="3" fontId="13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1" fontId="13" fillId="0" borderId="1" xfId="0" applyNumberFormat="1" applyFont="1" applyBorder="1" applyAlignment="1" applyProtection="1">
      <alignment horizontal="left" vertical="center"/>
      <protection locked="0"/>
    </xf>
    <xf numFmtId="3" fontId="13" fillId="0" borderId="1" xfId="0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1" xfId="0" applyNumberFormat="1" applyFont="1" applyBorder="1" applyAlignment="1" applyProtection="1">
      <alignment horizontal="left"/>
      <protection/>
    </xf>
    <xf numFmtId="0" fontId="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 applyProtection="1">
      <alignment horizontal="center" vertical="center"/>
      <protection/>
    </xf>
    <xf numFmtId="1" fontId="13" fillId="0" borderId="1" xfId="0" applyNumberFormat="1" applyFont="1" applyBorder="1" applyAlignment="1" applyProtection="1">
      <alignment horizontal="center" vertical="center"/>
      <protection/>
    </xf>
    <xf numFmtId="187" fontId="15" fillId="0" borderId="1" xfId="0" applyNumberFormat="1" applyFont="1" applyBorder="1" applyAlignment="1" applyProtection="1">
      <alignment horizontal="center" vertical="center"/>
      <protection locked="0"/>
    </xf>
    <xf numFmtId="176" fontId="15" fillId="0" borderId="1" xfId="0" applyNumberFormat="1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3" fillId="0" borderId="1" xfId="0" applyFont="1" applyBorder="1" applyAlignment="1" applyProtection="1">
      <alignment vertical="center"/>
      <protection/>
    </xf>
    <xf numFmtId="187" fontId="13" fillId="0" borderId="1" xfId="0" applyNumberFormat="1" applyFont="1" applyBorder="1" applyAlignment="1" applyProtection="1">
      <alignment vertical="center"/>
      <protection locked="0"/>
    </xf>
    <xf numFmtId="186" fontId="13" fillId="0" borderId="1" xfId="0" applyNumberFormat="1" applyFont="1" applyBorder="1" applyAlignment="1" applyProtection="1">
      <alignment vertical="center"/>
      <protection locked="0"/>
    </xf>
    <xf numFmtId="186" fontId="15" fillId="0" borderId="1" xfId="0" applyNumberFormat="1" applyFont="1" applyBorder="1" applyAlignment="1" applyProtection="1">
      <alignment vertical="center"/>
      <protection locked="0"/>
    </xf>
    <xf numFmtId="178" fontId="15" fillId="0" borderId="1" xfId="0" applyNumberFormat="1" applyFont="1" applyBorder="1" applyAlignment="1" applyProtection="1">
      <alignment vertical="center"/>
      <protection locked="0"/>
    </xf>
    <xf numFmtId="178" fontId="15" fillId="0" borderId="1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 applyProtection="1">
      <alignment horizontal="center" vertical="center"/>
      <protection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1" xfId="0" applyFont="1" applyBorder="1" applyAlignment="1">
      <alignment vertical="center"/>
    </xf>
    <xf numFmtId="179" fontId="15" fillId="0" borderId="1" xfId="0" applyNumberFormat="1" applyFont="1" applyBorder="1" applyAlignment="1" applyProtection="1">
      <alignment horizontal="center" vertical="center"/>
      <protection/>
    </xf>
    <xf numFmtId="178" fontId="17" fillId="1" borderId="1" xfId="0" applyNumberFormat="1" applyFont="1" applyFill="1" applyBorder="1" applyAlignment="1" applyProtection="1">
      <alignment horizontal="center" vertical="center"/>
      <protection locked="0"/>
    </xf>
    <xf numFmtId="178" fontId="15" fillId="0" borderId="1" xfId="0" applyNumberFormat="1" applyFont="1" applyBorder="1" applyAlignment="1" applyProtection="1">
      <alignment horizontal="center" vertical="center"/>
      <protection locked="0"/>
    </xf>
    <xf numFmtId="178" fontId="17" fillId="0" borderId="1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0" fillId="0" borderId="31" xfId="0" applyFont="1" applyBorder="1" applyAlignment="1" applyProtection="1">
      <alignment horizontal="centerContinuous" vertical="center"/>
      <protection/>
    </xf>
    <xf numFmtId="0" fontId="19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9" fillId="0" borderId="1" xfId="0" applyFont="1" applyBorder="1" applyAlignment="1" applyProtection="1">
      <alignment horizontal="left" vertical="center"/>
      <protection/>
    </xf>
    <xf numFmtId="185" fontId="13" fillId="0" borderId="1" xfId="0" applyNumberFormat="1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5" fillId="0" borderId="31" xfId="0" applyFont="1" applyBorder="1" applyAlignment="1">
      <alignment horizontal="centerContinuous" vertical="center"/>
    </xf>
    <xf numFmtId="180" fontId="15" fillId="0" borderId="1" xfId="0" applyNumberFormat="1" applyFont="1" applyBorder="1" applyAlignment="1" applyProtection="1">
      <alignment horizontal="centerContinuous" vertical="center"/>
      <protection locked="0"/>
    </xf>
    <xf numFmtId="0" fontId="13" fillId="0" borderId="3" xfId="0" applyFont="1" applyBorder="1" applyAlignment="1">
      <alignment horizontal="left" vertical="center"/>
    </xf>
    <xf numFmtId="0" fontId="14" fillId="0" borderId="1" xfId="0" applyFont="1" applyBorder="1" applyAlignment="1" applyProtection="1">
      <alignment horizontal="center" vertical="center"/>
      <protection/>
    </xf>
    <xf numFmtId="178" fontId="15" fillId="2" borderId="31" xfId="0" applyNumberFormat="1" applyFont="1" applyFill="1" applyBorder="1" applyAlignment="1" applyProtection="1">
      <alignment horizontal="center" vertical="center"/>
      <protection locked="0"/>
    </xf>
    <xf numFmtId="178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/>
    </xf>
    <xf numFmtId="0" fontId="20" fillId="0" borderId="1" xfId="0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176" fontId="13" fillId="0" borderId="1" xfId="0" applyNumberFormat="1" applyFont="1" applyBorder="1" applyAlignment="1" applyProtection="1">
      <alignment horizontal="center" vertical="center"/>
      <protection/>
    </xf>
    <xf numFmtId="3" fontId="15" fillId="2" borderId="31" xfId="0" applyNumberFormat="1" applyFont="1" applyFill="1" applyBorder="1" applyAlignment="1" applyProtection="1">
      <alignment horizontal="center" vertical="center"/>
      <protection locked="0"/>
    </xf>
    <xf numFmtId="3" fontId="15" fillId="2" borderId="1" xfId="0" applyNumberFormat="1" applyFont="1" applyFill="1" applyBorder="1" applyAlignment="1" applyProtection="1">
      <alignment horizontal="center" vertical="center"/>
      <protection locked="0"/>
    </xf>
    <xf numFmtId="4" fontId="15" fillId="0" borderId="1" xfId="0" applyNumberFormat="1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Continuous" vertical="center"/>
      <protection/>
    </xf>
    <xf numFmtId="179" fontId="13" fillId="0" borderId="1" xfId="0" applyNumberFormat="1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177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0" fillId="0" borderId="1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9" fillId="0" borderId="13" xfId="0" applyFont="1" applyBorder="1" applyAlignment="1" applyProtection="1">
      <alignment horizontal="centerContinuous" vertical="center"/>
      <protection/>
    </xf>
    <xf numFmtId="0" fontId="9" fillId="0" borderId="5" xfId="0" applyFont="1" applyBorder="1" applyAlignment="1" applyProtection="1">
      <alignment horizontal="centerContinuous" vertical="center"/>
      <protection/>
    </xf>
    <xf numFmtId="0" fontId="9" fillId="0" borderId="14" xfId="0" applyFont="1" applyBorder="1" applyAlignment="1" applyProtection="1">
      <alignment horizontal="centerContinuous" vertical="center"/>
      <protection/>
    </xf>
    <xf numFmtId="1" fontId="15" fillId="0" borderId="1" xfId="0" applyNumberFormat="1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right" vertical="center"/>
      <protection locked="0"/>
    </xf>
    <xf numFmtId="3" fontId="15" fillId="0" borderId="5" xfId="0" applyNumberFormat="1" applyFont="1" applyBorder="1" applyAlignment="1" applyProtection="1">
      <alignment horizontal="right" vertical="center"/>
      <protection locked="0"/>
    </xf>
    <xf numFmtId="176" fontId="15" fillId="0" borderId="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3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176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195" fontId="6" fillId="0" borderId="1" xfId="0" applyNumberFormat="1" applyFont="1" applyBorder="1" applyAlignment="1" applyProtection="1">
      <alignment horizontal="center"/>
      <protection locked="0"/>
    </xf>
    <xf numFmtId="195" fontId="6" fillId="0" borderId="1" xfId="0" applyNumberFormat="1" applyFont="1" applyBorder="1" applyAlignment="1" applyProtection="1">
      <alignment horizontal="center" vertical="center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Continuous" vertical="center"/>
      <protection locked="0"/>
    </xf>
    <xf numFmtId="179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Continuous"/>
    </xf>
    <xf numFmtId="0" fontId="1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5" fillId="0" borderId="3" xfId="0" applyNumberFormat="1" applyFont="1" applyBorder="1" applyAlignment="1">
      <alignment horizontal="centerContinuous"/>
    </xf>
    <xf numFmtId="4" fontId="0" fillId="0" borderId="0" xfId="0" applyNumberFormat="1" applyFont="1" applyBorder="1" applyAlignment="1">
      <alignment horizontal="centerContinuous"/>
    </xf>
    <xf numFmtId="4" fontId="0" fillId="0" borderId="3" xfId="0" applyNumberFormat="1" applyFont="1" applyBorder="1" applyAlignment="1">
      <alignment horizontal="center"/>
    </xf>
    <xf numFmtId="179" fontId="15" fillId="0" borderId="0" xfId="0" applyNumberFormat="1" applyFont="1" applyBorder="1" applyAlignment="1" applyProtection="1">
      <alignment horizontal="center" vertical="center"/>
      <protection/>
    </xf>
    <xf numFmtId="4" fontId="15" fillId="0" borderId="1" xfId="0" applyNumberFormat="1" applyFont="1" applyBorder="1" applyAlignment="1" applyProtection="1">
      <alignment horizontal="center" vertical="center"/>
      <protection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Continuous" vertical="center"/>
    </xf>
    <xf numFmtId="4" fontId="5" fillId="0" borderId="4" xfId="0" applyNumberFormat="1" applyFont="1" applyBorder="1" applyAlignment="1">
      <alignment horizontal="centerContinuous"/>
    </xf>
    <xf numFmtId="4" fontId="0" fillId="0" borderId="2" xfId="0" applyNumberFormat="1" applyFont="1" applyBorder="1" applyAlignment="1" applyProtection="1">
      <alignment/>
      <protection/>
    </xf>
    <xf numFmtId="4" fontId="0" fillId="0" borderId="2" xfId="0" applyNumberFormat="1" applyFont="1" applyBorder="1" applyAlignment="1" applyProtection="1">
      <alignment horizontal="centerContinuous"/>
      <protection/>
    </xf>
    <xf numFmtId="4" fontId="0" fillId="0" borderId="4" xfId="0" applyNumberFormat="1" applyFont="1" applyBorder="1" applyAlignment="1">
      <alignment horizontal="center"/>
    </xf>
    <xf numFmtId="4" fontId="0" fillId="0" borderId="0" xfId="0" applyNumberFormat="1" applyFont="1" applyBorder="1" applyAlignment="1" applyProtection="1">
      <alignment horizontal="left"/>
      <protection/>
    </xf>
    <xf numFmtId="4" fontId="9" fillId="0" borderId="2" xfId="0" applyNumberFormat="1" applyFont="1" applyBorder="1" applyAlignment="1" applyProtection="1">
      <alignment horizontal="center" vertical="center"/>
      <protection/>
    </xf>
    <xf numFmtId="4" fontId="13" fillId="0" borderId="3" xfId="0" applyNumberFormat="1" applyFont="1" applyBorder="1" applyAlignment="1" applyProtection="1">
      <alignment horizontal="center" vertical="center"/>
      <protection/>
    </xf>
    <xf numFmtId="1" fontId="13" fillId="0" borderId="3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Font="1" applyBorder="1" applyAlignment="1">
      <alignment horizontal="left"/>
    </xf>
    <xf numFmtId="0" fontId="13" fillId="0" borderId="7" xfId="0" applyFont="1" applyBorder="1" applyAlignment="1" applyProtection="1">
      <alignment horizontal="center" vertical="center"/>
      <protection/>
    </xf>
    <xf numFmtId="0" fontId="13" fillId="0" borderId="7" xfId="0" applyFont="1" applyBorder="1" applyAlignment="1" applyProtection="1">
      <alignment horizontal="left" vertical="center"/>
      <protection/>
    </xf>
    <xf numFmtId="0" fontId="9" fillId="0" borderId="7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 applyProtection="1">
      <alignment horizontal="center" vertical="center"/>
      <protection/>
    </xf>
    <xf numFmtId="0" fontId="0" fillId="0" borderId="8" xfId="0" applyBorder="1" applyAlignment="1">
      <alignment/>
    </xf>
    <xf numFmtId="0" fontId="13" fillId="0" borderId="8" xfId="0" applyFont="1" applyBorder="1" applyAlignment="1">
      <alignment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>
      <alignment horizontal="center" vertical="center"/>
    </xf>
    <xf numFmtId="2" fontId="13" fillId="0" borderId="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176" fontId="15" fillId="0" borderId="0" xfId="0" applyNumberFormat="1" applyFont="1" applyBorder="1" applyAlignment="1" applyProtection="1">
      <alignment vertical="center"/>
      <protection/>
    </xf>
    <xf numFmtId="178" fontId="15" fillId="0" borderId="1" xfId="0" applyNumberFormat="1" applyFont="1" applyBorder="1" applyAlignment="1" applyProtection="1">
      <alignment horizontal="center"/>
      <protection locked="0"/>
    </xf>
    <xf numFmtId="185" fontId="15" fillId="0" borderId="1" xfId="0" applyNumberFormat="1" applyFont="1" applyBorder="1" applyAlignment="1" applyProtection="1">
      <alignment horizontal="center" vertical="center"/>
      <protection/>
    </xf>
    <xf numFmtId="178" fontId="15" fillId="0" borderId="1" xfId="0" applyNumberFormat="1" applyFont="1" applyBorder="1" applyAlignment="1" applyProtection="1">
      <alignment horizontal="center" vertical="center"/>
      <protection/>
    </xf>
    <xf numFmtId="187" fontId="15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1" xfId="0" applyFont="1" applyBorder="1" applyAlignment="1" applyProtection="1">
      <alignment horizontal="left" vertical="center"/>
      <protection/>
    </xf>
    <xf numFmtId="187" fontId="15" fillId="0" borderId="0" xfId="0" applyNumberFormat="1" applyFont="1" applyAlignment="1" applyProtection="1">
      <alignment horizontal="center" vertical="center"/>
      <protection locked="0"/>
    </xf>
    <xf numFmtId="180" fontId="15" fillId="0" borderId="0" xfId="0" applyNumberFormat="1" applyFont="1" applyAlignment="1" applyProtection="1">
      <alignment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2" fontId="15" fillId="0" borderId="28" xfId="0" applyNumberFormat="1" applyFont="1" applyBorder="1" applyAlignment="1" applyProtection="1">
      <alignment horizontal="center" vertical="center"/>
      <protection locked="0"/>
    </xf>
    <xf numFmtId="2" fontId="15" fillId="0" borderId="29" xfId="0" applyNumberFormat="1" applyFont="1" applyBorder="1" applyAlignment="1" applyProtection="1">
      <alignment horizontal="center" vertical="center"/>
      <protection locked="0"/>
    </xf>
    <xf numFmtId="180" fontId="23" fillId="1" borderId="31" xfId="0" applyNumberFormat="1" applyFont="1" applyFill="1" applyBorder="1" applyAlignment="1" applyProtection="1">
      <alignment horizontal="center" vertical="center"/>
      <protection locked="0"/>
    </xf>
    <xf numFmtId="176" fontId="17" fillId="0" borderId="1" xfId="0" applyNumberFormat="1" applyFont="1" applyBorder="1" applyAlignment="1" applyProtection="1">
      <alignment horizontal="center" vertical="center"/>
      <protection locked="0"/>
    </xf>
    <xf numFmtId="176" fontId="17" fillId="0" borderId="32" xfId="0" applyNumberFormat="1" applyFont="1" applyBorder="1" applyAlignment="1" applyProtection="1">
      <alignment horizontal="center" vertical="center"/>
      <protection locked="0"/>
    </xf>
    <xf numFmtId="0" fontId="13" fillId="0" borderId="33" xfId="0" applyFont="1" applyFill="1" applyBorder="1" applyAlignment="1">
      <alignment horizontal="center" vertical="center"/>
    </xf>
    <xf numFmtId="0" fontId="0" fillId="0" borderId="34" xfId="0" applyFont="1" applyBorder="1" applyAlignment="1" applyProtection="1">
      <alignment horizontal="left" vertical="center"/>
      <protection/>
    </xf>
    <xf numFmtId="176" fontId="10" fillId="0" borderId="34" xfId="0" applyNumberFormat="1" applyFont="1" applyBorder="1" applyAlignment="1" applyProtection="1">
      <alignment horizontal="center" vertical="center"/>
      <protection/>
    </xf>
    <xf numFmtId="176" fontId="10" fillId="0" borderId="37" xfId="0" applyNumberFormat="1" applyFont="1" applyBorder="1" applyAlignment="1" applyProtection="1">
      <alignment horizontal="center" vertical="center"/>
      <protection locked="0"/>
    </xf>
    <xf numFmtId="179" fontId="17" fillId="0" borderId="33" xfId="0" applyNumberFormat="1" applyFont="1" applyFill="1" applyBorder="1" applyAlignment="1">
      <alignment horizontal="center" vertical="center"/>
    </xf>
    <xf numFmtId="179" fontId="10" fillId="0" borderId="34" xfId="0" applyNumberFormat="1" applyFont="1" applyBorder="1" applyAlignment="1" applyProtection="1">
      <alignment horizontal="center" vertical="center"/>
      <protection/>
    </xf>
    <xf numFmtId="179" fontId="10" fillId="0" borderId="37" xfId="0" applyNumberFormat="1" applyFont="1" applyBorder="1" applyAlignment="1" applyProtection="1">
      <alignment horizontal="center" vertical="center"/>
      <protection locked="0"/>
    </xf>
    <xf numFmtId="180" fontId="17" fillId="0" borderId="1" xfId="0" applyNumberFormat="1" applyFont="1" applyBorder="1" applyAlignment="1" applyProtection="1">
      <alignment horizontal="center" vertical="center"/>
      <protection locked="0"/>
    </xf>
    <xf numFmtId="180" fontId="17" fillId="0" borderId="32" xfId="0" applyNumberFormat="1" applyFont="1" applyBorder="1" applyAlignment="1" applyProtection="1">
      <alignment horizontal="center" vertical="center"/>
      <protection locked="0"/>
    </xf>
    <xf numFmtId="179" fontId="8" fillId="0" borderId="33" xfId="0" applyNumberFormat="1" applyFont="1" applyFill="1" applyBorder="1" applyAlignment="1">
      <alignment horizontal="center" vertical="center"/>
    </xf>
    <xf numFmtId="179" fontId="10" fillId="0" borderId="1" xfId="0" applyNumberFormat="1" applyFont="1" applyBorder="1" applyAlignment="1" applyProtection="1">
      <alignment horizontal="center" vertical="center"/>
      <protection/>
    </xf>
    <xf numFmtId="179" fontId="10" fillId="0" borderId="32" xfId="0" applyNumberFormat="1" applyFont="1" applyBorder="1" applyAlignment="1" applyProtection="1">
      <alignment horizontal="center" vertical="center"/>
      <protection locked="0"/>
    </xf>
    <xf numFmtId="176" fontId="23" fillId="1" borderId="31" xfId="0" applyNumberFormat="1" applyFont="1" applyFill="1" applyBorder="1" applyAlignment="1" applyProtection="1">
      <alignment horizontal="center" vertical="center"/>
      <protection locked="0"/>
    </xf>
    <xf numFmtId="179" fontId="5" fillId="0" borderId="1" xfId="0" applyNumberFormat="1" applyFont="1" applyBorder="1" applyAlignment="1" applyProtection="1">
      <alignment horizontal="center" vertical="center"/>
      <protection/>
    </xf>
    <xf numFmtId="176" fontId="8" fillId="0" borderId="33" xfId="0" applyNumberFormat="1" applyFont="1" applyFill="1" applyBorder="1" applyAlignment="1">
      <alignment horizontal="center" vertical="center"/>
    </xf>
    <xf numFmtId="3" fontId="15" fillId="0" borderId="3" xfId="0" applyNumberFormat="1" applyFont="1" applyBorder="1" applyAlignment="1" applyProtection="1">
      <alignment horizontal="right" vertical="center"/>
      <protection locked="0"/>
    </xf>
    <xf numFmtId="176" fontId="15" fillId="0" borderId="3" xfId="0" applyNumberFormat="1" applyFont="1" applyBorder="1" applyAlignment="1" applyProtection="1">
      <alignment horizontal="right" vertical="center"/>
      <protection/>
    </xf>
    <xf numFmtId="2" fontId="15" fillId="0" borderId="3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185" fontId="17" fillId="0" borderId="1" xfId="0" applyNumberFormat="1" applyFont="1" applyBorder="1" applyAlignment="1">
      <alignment horizontal="center" vertical="center"/>
    </xf>
    <xf numFmtId="186" fontId="15" fillId="0" borderId="1" xfId="0" applyNumberFormat="1" applyFont="1" applyBorder="1" applyAlignment="1" applyProtection="1">
      <alignment horizontal="center" vertical="center"/>
      <protection locked="0"/>
    </xf>
    <xf numFmtId="4" fontId="17" fillId="1" borderId="1" xfId="0" applyNumberFormat="1" applyFont="1" applyFill="1" applyBorder="1" applyAlignment="1" applyProtection="1">
      <alignment horizontal="center" vertical="center"/>
      <protection locked="0"/>
    </xf>
    <xf numFmtId="4" fontId="17" fillId="0" borderId="1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Continuous" vertical="center"/>
      <protection/>
    </xf>
    <xf numFmtId="179" fontId="15" fillId="0" borderId="3" xfId="0" applyNumberFormat="1" applyFont="1" applyBorder="1" applyAlignment="1" applyProtection="1">
      <alignment horizontal="centerContinuous" vertical="center"/>
      <protection/>
    </xf>
    <xf numFmtId="178" fontId="17" fillId="2" borderId="3" xfId="0" applyNumberFormat="1" applyFont="1" applyFill="1" applyBorder="1" applyAlignment="1" applyProtection="1">
      <alignment horizontal="centerContinuous" vertical="center"/>
      <protection locked="0"/>
    </xf>
    <xf numFmtId="178" fontId="17" fillId="0" borderId="3" xfId="0" applyNumberFormat="1" applyFont="1" applyBorder="1" applyAlignment="1" applyProtection="1">
      <alignment horizontal="centerContinuous" vertical="center"/>
      <protection locked="0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Font="1" applyBorder="1" applyAlignment="1" applyProtection="1">
      <alignment horizontal="left" vertical="center"/>
      <protection/>
    </xf>
    <xf numFmtId="2" fontId="15" fillId="0" borderId="4" xfId="0" applyNumberFormat="1" applyFont="1" applyBorder="1" applyAlignment="1" applyProtection="1">
      <alignment horizontal="center" vertical="center"/>
      <protection locked="0"/>
    </xf>
    <xf numFmtId="2" fontId="15" fillId="0" borderId="0" xfId="0" applyNumberFormat="1" applyFont="1" applyBorder="1" applyAlignment="1" applyProtection="1">
      <alignment horizontal="center" vertical="center"/>
      <protection locked="0"/>
    </xf>
    <xf numFmtId="2" fontId="15" fillId="0" borderId="2" xfId="0" applyNumberFormat="1" applyFont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3" fontId="15" fillId="4" borderId="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left"/>
    </xf>
    <xf numFmtId="0" fontId="15" fillId="0" borderId="7" xfId="0" applyFont="1" applyBorder="1" applyAlignment="1" applyProtection="1">
      <alignment horizontal="center" vertical="center"/>
      <protection/>
    </xf>
    <xf numFmtId="3" fontId="15" fillId="0" borderId="7" xfId="0" applyNumberFormat="1" applyFont="1" applyBorder="1" applyAlignment="1" applyProtection="1">
      <alignment horizontal="right" vertical="center"/>
      <protection locked="0"/>
    </xf>
    <xf numFmtId="176" fontId="15" fillId="0" borderId="7" xfId="0" applyNumberFormat="1" applyFont="1" applyBorder="1" applyAlignment="1" applyProtection="1">
      <alignment horizontal="right" vertical="center"/>
      <protection/>
    </xf>
    <xf numFmtId="2" fontId="15" fillId="0" borderId="7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Border="1" applyAlignment="1">
      <alignment horizontal="left"/>
    </xf>
    <xf numFmtId="4" fontId="0" fillId="0" borderId="2" xfId="0" applyNumberFormat="1" applyBorder="1" applyAlignment="1">
      <alignment horizontal="left"/>
    </xf>
    <xf numFmtId="4" fontId="0" fillId="0" borderId="3" xfId="0" applyNumberFormat="1" applyBorder="1" applyAlignment="1">
      <alignment horizontal="left"/>
    </xf>
    <xf numFmtId="4" fontId="0" fillId="0" borderId="4" xfId="0" applyNumberFormat="1" applyBorder="1" applyAlignment="1">
      <alignment horizontal="left"/>
    </xf>
    <xf numFmtId="2" fontId="5" fillId="0" borderId="2" xfId="0" applyNumberFormat="1" applyFont="1" applyBorder="1" applyAlignment="1" applyProtection="1">
      <alignment horizontal="left" vertical="center"/>
      <protection/>
    </xf>
    <xf numFmtId="2" fontId="22" fillId="0" borderId="1" xfId="0" applyNumberFormat="1" applyFont="1" applyBorder="1" applyAlignment="1" applyProtection="1">
      <alignment horizontal="center" vertical="center"/>
      <protection/>
    </xf>
    <xf numFmtId="0" fontId="0" fillId="5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5" borderId="7" xfId="0" applyFont="1" applyFill="1" applyBorder="1" applyAlignment="1">
      <alignment horizontal="center"/>
    </xf>
    <xf numFmtId="0" fontId="26" fillId="5" borderId="8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/>
    </xf>
    <xf numFmtId="179" fontId="26" fillId="0" borderId="1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2" xfId="0" applyFont="1" applyBorder="1" applyAlignment="1">
      <alignment horizontal="centerContinuous"/>
    </xf>
    <xf numFmtId="0" fontId="27" fillId="0" borderId="3" xfId="0" applyFont="1" applyBorder="1" applyAlignment="1">
      <alignment horizontal="centerContinuous"/>
    </xf>
    <xf numFmtId="0" fontId="27" fillId="0" borderId="4" xfId="0" applyFont="1" applyBorder="1" applyAlignment="1">
      <alignment horizontal="centerContinuous"/>
    </xf>
    <xf numFmtId="0" fontId="27" fillId="0" borderId="1" xfId="0" applyFont="1" applyBorder="1" applyAlignment="1">
      <alignment horizontal="center"/>
    </xf>
    <xf numFmtId="0" fontId="26" fillId="0" borderId="0" xfId="0" applyFont="1" applyAlignment="1">
      <alignment vertical="center"/>
    </xf>
    <xf numFmtId="0" fontId="26" fillId="0" borderId="2" xfId="0" applyFont="1" applyBorder="1" applyAlignment="1">
      <alignment horizontal="centerContinuous" vertical="center"/>
    </xf>
    <xf numFmtId="0" fontId="26" fillId="0" borderId="3" xfId="0" applyFont="1" applyBorder="1" applyAlignment="1">
      <alignment horizontal="centerContinuous" vertical="center"/>
    </xf>
    <xf numFmtId="0" fontId="26" fillId="0" borderId="4" xfId="0" applyFont="1" applyBorder="1" applyAlignment="1">
      <alignment horizontal="centerContinuous" vertical="center"/>
    </xf>
    <xf numFmtId="0" fontId="26" fillId="0" borderId="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/>
    </xf>
    <xf numFmtId="179" fontId="31" fillId="0" borderId="1" xfId="0" applyNumberFormat="1" applyFont="1" applyBorder="1" applyAlignment="1">
      <alignment horizontal="center" vertical="center"/>
    </xf>
    <xf numFmtId="2" fontId="26" fillId="0" borderId="7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2" fontId="26" fillId="0" borderId="8" xfId="0" applyNumberFormat="1" applyFont="1" applyBorder="1" applyAlignment="1">
      <alignment horizontal="center" vertical="center"/>
    </xf>
    <xf numFmtId="185" fontId="26" fillId="0" borderId="1" xfId="0" applyNumberFormat="1" applyFont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2" fontId="26" fillId="5" borderId="1" xfId="0" applyNumberFormat="1" applyFont="1" applyFill="1" applyBorder="1" applyAlignment="1">
      <alignment horizontal="center" vertical="center"/>
    </xf>
    <xf numFmtId="179" fontId="26" fillId="5" borderId="1" xfId="0" applyNumberFormat="1" applyFont="1" applyFill="1" applyBorder="1" applyAlignment="1">
      <alignment horizontal="center" vertical="center"/>
    </xf>
    <xf numFmtId="185" fontId="26" fillId="5" borderId="1" xfId="0" applyNumberFormat="1" applyFont="1" applyFill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Continuous" vertical="center"/>
    </xf>
    <xf numFmtId="176" fontId="0" fillId="0" borderId="8" xfId="0" applyNumberFormat="1" applyFont="1" applyBorder="1" applyAlignment="1">
      <alignment horizontal="centerContinuous" vertical="center"/>
    </xf>
    <xf numFmtId="176" fontId="0" fillId="0" borderId="10" xfId="0" applyNumberFormat="1" applyFont="1" applyBorder="1" applyAlignment="1">
      <alignment horizontal="centerContinuous" vertical="center"/>
    </xf>
    <xf numFmtId="3" fontId="0" fillId="0" borderId="7" xfId="0" applyNumberFormat="1" applyFont="1" applyBorder="1" applyAlignment="1">
      <alignment horizontal="left" vertical="center"/>
    </xf>
    <xf numFmtId="3" fontId="0" fillId="0" borderId="8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/>
    </xf>
    <xf numFmtId="49" fontId="26" fillId="0" borderId="7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178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203" fontId="0" fillId="0" borderId="1" xfId="0" applyNumberForma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/>
    </xf>
    <xf numFmtId="2" fontId="26" fillId="0" borderId="7" xfId="0" applyNumberFormat="1" applyFont="1" applyBorder="1" applyAlignment="1">
      <alignment horizontal="center"/>
    </xf>
    <xf numFmtId="0" fontId="26" fillId="0" borderId="24" xfId="0" applyFont="1" applyBorder="1" applyAlignment="1">
      <alignment horizontal="left"/>
    </xf>
    <xf numFmtId="0" fontId="26" fillId="0" borderId="28" xfId="0" applyFont="1" applyBorder="1" applyAlignment="1">
      <alignment horizontal="center"/>
    </xf>
    <xf numFmtId="2" fontId="26" fillId="0" borderId="28" xfId="0" applyNumberFormat="1" applyFont="1" applyBorder="1" applyAlignment="1">
      <alignment horizontal="center"/>
    </xf>
    <xf numFmtId="2" fontId="26" fillId="0" borderId="29" xfId="0" applyNumberFormat="1" applyFont="1" applyBorder="1" applyAlignment="1">
      <alignment horizontal="center"/>
    </xf>
    <xf numFmtId="0" fontId="26" fillId="0" borderId="31" xfId="0" applyFont="1" applyBorder="1" applyAlignment="1">
      <alignment horizontal="left"/>
    </xf>
    <xf numFmtId="2" fontId="26" fillId="0" borderId="32" xfId="0" applyNumberFormat="1" applyFont="1" applyBorder="1" applyAlignment="1">
      <alignment horizontal="center"/>
    </xf>
    <xf numFmtId="0" fontId="26" fillId="0" borderId="33" xfId="0" applyFont="1" applyBorder="1" applyAlignment="1">
      <alignment horizontal="left"/>
    </xf>
    <xf numFmtId="0" fontId="26" fillId="0" borderId="34" xfId="0" applyFont="1" applyBorder="1" applyAlignment="1">
      <alignment horizontal="center"/>
    </xf>
    <xf numFmtId="2" fontId="26" fillId="0" borderId="34" xfId="0" applyNumberFormat="1" applyFont="1" applyBorder="1" applyAlignment="1">
      <alignment horizontal="center"/>
    </xf>
    <xf numFmtId="2" fontId="26" fillId="0" borderId="37" xfId="0" applyNumberFormat="1" applyFont="1" applyBorder="1" applyAlignment="1">
      <alignment horizontal="center"/>
    </xf>
    <xf numFmtId="0" fontId="26" fillId="0" borderId="45" xfId="0" applyFont="1" applyBorder="1" applyAlignment="1">
      <alignment horizontal="left"/>
    </xf>
    <xf numFmtId="2" fontId="26" fillId="0" borderId="46" xfId="0" applyNumberFormat="1" applyFont="1" applyBorder="1" applyAlignment="1">
      <alignment horizontal="center"/>
    </xf>
    <xf numFmtId="0" fontId="26" fillId="5" borderId="10" xfId="0" applyFont="1" applyFill="1" applyBorder="1" applyAlignment="1">
      <alignment horizontal="center"/>
    </xf>
    <xf numFmtId="0" fontId="27" fillId="5" borderId="31" xfId="0" applyFont="1" applyFill="1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27" fillId="5" borderId="47" xfId="0" applyFont="1" applyFill="1" applyBorder="1" applyAlignment="1">
      <alignment horizontal="center"/>
    </xf>
    <xf numFmtId="0" fontId="27" fillId="0" borderId="26" xfId="0" applyFont="1" applyBorder="1" applyAlignment="1">
      <alignment vertical="center"/>
    </xf>
    <xf numFmtId="0" fontId="27" fillId="0" borderId="48" xfId="0" applyFont="1" applyBorder="1" applyAlignment="1">
      <alignment horizontal="centerContinuous" vertical="center" wrapText="1"/>
    </xf>
    <xf numFmtId="0" fontId="27" fillId="0" borderId="49" xfId="0" applyFont="1" applyBorder="1" applyAlignment="1">
      <alignment horizontal="centerContinuous" vertical="center" wrapText="1"/>
    </xf>
    <xf numFmtId="0" fontId="27" fillId="0" borderId="50" xfId="0" applyFont="1" applyBorder="1" applyAlignment="1">
      <alignment horizontal="centerContinuous" vertical="center" wrapText="1"/>
    </xf>
    <xf numFmtId="0" fontId="27" fillId="0" borderId="7" xfId="0" applyFont="1" applyFill="1" applyBorder="1" applyAlignment="1">
      <alignment horizontal="center"/>
    </xf>
    <xf numFmtId="0" fontId="32" fillId="0" borderId="7" xfId="0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Continuous"/>
    </xf>
    <xf numFmtId="3" fontId="0" fillId="0" borderId="1" xfId="0" applyNumberFormat="1" applyFill="1" applyBorder="1" applyAlignment="1">
      <alignment horizontal="centerContinuous"/>
    </xf>
    <xf numFmtId="3" fontId="0" fillId="0" borderId="8" xfId="0" applyNumberFormat="1" applyFill="1" applyBorder="1" applyAlignment="1">
      <alignment horizontal="centerContinuous"/>
    </xf>
    <xf numFmtId="0" fontId="26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6" fillId="0" borderId="1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centerContinuous"/>
    </xf>
    <xf numFmtId="3" fontId="0" fillId="0" borderId="1" xfId="0" applyNumberFormat="1" applyFont="1" applyFill="1" applyBorder="1" applyAlignment="1">
      <alignment horizontal="centerContinuous"/>
    </xf>
    <xf numFmtId="0" fontId="26" fillId="0" borderId="8" xfId="0" applyFont="1" applyFill="1" applyBorder="1" applyAlignment="1">
      <alignment horizontal="centerContinuous"/>
    </xf>
    <xf numFmtId="0" fontId="26" fillId="0" borderId="8" xfId="0" applyFont="1" applyBorder="1" applyAlignment="1">
      <alignment horizontal="center"/>
    </xf>
    <xf numFmtId="3" fontId="26" fillId="0" borderId="8" xfId="0" applyNumberFormat="1" applyFont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5" borderId="2" xfId="0" applyFont="1" applyFill="1" applyBorder="1" applyAlignment="1">
      <alignment horizontal="centerContinuous"/>
    </xf>
    <xf numFmtId="0" fontId="26" fillId="5" borderId="3" xfId="0" applyFont="1" applyFill="1" applyBorder="1" applyAlignment="1">
      <alignment horizontal="centerContinuous"/>
    </xf>
    <xf numFmtId="0" fontId="26" fillId="5" borderId="4" xfId="0" applyFont="1" applyFill="1" applyBorder="1" applyAlignment="1">
      <alignment horizontal="centerContinuous"/>
    </xf>
    <xf numFmtId="0" fontId="34" fillId="5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1" fontId="26" fillId="5" borderId="8" xfId="0" applyNumberFormat="1" applyFont="1" applyFill="1" applyBorder="1" applyAlignment="1">
      <alignment horizontal="center"/>
    </xf>
    <xf numFmtId="0" fontId="34" fillId="5" borderId="10" xfId="0" applyFont="1" applyFill="1" applyBorder="1" applyAlignment="1">
      <alignment horizontal="centerContinuous"/>
    </xf>
    <xf numFmtId="0" fontId="26" fillId="0" borderId="8" xfId="0" applyFont="1" applyBorder="1" applyAlignment="1">
      <alignment horizontal="centerContinuous"/>
    </xf>
    <xf numFmtId="3" fontId="36" fillId="0" borderId="8" xfId="0" applyNumberFormat="1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2" fontId="36" fillId="0" borderId="1" xfId="0" applyNumberFormat="1" applyFont="1" applyBorder="1" applyAlignment="1">
      <alignment horizontal="center"/>
    </xf>
    <xf numFmtId="2" fontId="26" fillId="0" borderId="51" xfId="0" applyNumberFormat="1" applyFont="1" applyBorder="1" applyAlignment="1">
      <alignment horizontal="center"/>
    </xf>
    <xf numFmtId="2" fontId="26" fillId="0" borderId="8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27" fillId="5" borderId="19" xfId="0" applyFont="1" applyFill="1" applyBorder="1" applyAlignment="1">
      <alignment horizontal="centerContinuous"/>
    </xf>
    <xf numFmtId="0" fontId="27" fillId="5" borderId="9" xfId="0" applyFont="1" applyFill="1" applyBorder="1" applyAlignment="1">
      <alignment horizontal="centerContinuous"/>
    </xf>
    <xf numFmtId="0" fontId="27" fillId="5" borderId="20" xfId="0" applyFont="1" applyFill="1" applyBorder="1" applyAlignment="1">
      <alignment horizontal="centerContinuous"/>
    </xf>
    <xf numFmtId="0" fontId="37" fillId="5" borderId="1" xfId="0" applyFont="1" applyFill="1" applyBorder="1" applyAlignment="1">
      <alignment horizontal="center"/>
    </xf>
    <xf numFmtId="0" fontId="26" fillId="0" borderId="26" xfId="0" applyFont="1" applyBorder="1" applyAlignment="1">
      <alignment/>
    </xf>
    <xf numFmtId="0" fontId="37" fillId="5" borderId="32" xfId="0" applyFont="1" applyFill="1" applyBorder="1" applyAlignment="1">
      <alignment horizontal="center"/>
    </xf>
    <xf numFmtId="2" fontId="26" fillId="0" borderId="52" xfId="0" applyNumberFormat="1" applyFont="1" applyBorder="1" applyAlignment="1">
      <alignment horizontal="center"/>
    </xf>
    <xf numFmtId="0" fontId="26" fillId="0" borderId="3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4887533"/>
        <c:axId val="43987798"/>
      </c:scatterChart>
      <c:valAx>
        <c:axId val="488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87798"/>
        <c:crosses val="autoZero"/>
        <c:crossBetween val="midCat"/>
        <c:dispUnits/>
        <c:majorUnit val="0.05"/>
        <c:minorUnit val="0.01"/>
      </c:valAx>
      <c:valAx>
        <c:axId val="4398779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7533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60345863"/>
        <c:axId val="6241856"/>
      </c:scatterChart>
      <c:valAx>
        <c:axId val="60345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41856"/>
        <c:crosses val="autoZero"/>
        <c:crossBetween val="midCat"/>
        <c:dispUnits/>
        <c:majorUnit val="0.05"/>
        <c:minorUnit val="0.01"/>
      </c:valAx>
      <c:valAx>
        <c:axId val="624185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345863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56176705"/>
        <c:axId val="35828298"/>
      </c:scatterChart>
      <c:valAx>
        <c:axId val="56176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828298"/>
        <c:crosses val="autoZero"/>
        <c:crossBetween val="midCat"/>
        <c:dispUnits/>
        <c:majorUnit val="0.05"/>
        <c:minorUnit val="0.01"/>
      </c:valAx>
      <c:valAx>
        <c:axId val="3582829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76705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54019227"/>
        <c:axId val="16410996"/>
      </c:scatterChart>
      <c:valAx>
        <c:axId val="54019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10996"/>
        <c:crosses val="autoZero"/>
        <c:crossBetween val="midCat"/>
        <c:dispUnits/>
        <c:majorUnit val="0.05"/>
        <c:minorUnit val="0.01"/>
      </c:valAx>
      <c:valAx>
        <c:axId val="1641099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19227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13481237"/>
        <c:axId val="54222270"/>
      </c:scatterChart>
      <c:valAx>
        <c:axId val="13481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222270"/>
        <c:crosses val="autoZero"/>
        <c:crossBetween val="midCat"/>
        <c:dispUnits/>
        <c:majorUnit val="0.05"/>
        <c:minorUnit val="0.01"/>
      </c:valAx>
      <c:valAx>
        <c:axId val="5422227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81237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18238383"/>
        <c:axId val="29927720"/>
      </c:scatterChart>
      <c:valAx>
        <c:axId val="18238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27720"/>
        <c:crosses val="autoZero"/>
        <c:crossBetween val="midCat"/>
        <c:dispUnits/>
        <c:majorUnit val="0.05"/>
        <c:minorUnit val="0.01"/>
      </c:valAx>
      <c:valAx>
        <c:axId val="2992772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38383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304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2" name="Chart 4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3" name="Chart 5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11</xdr:row>
      <xdr:rowOff>0</xdr:rowOff>
    </xdr:to>
    <xdr:graphicFrame>
      <xdr:nvGraphicFramePr>
        <xdr:cNvPr id="4" name="Chart 6"/>
        <xdr:cNvGraphicFramePr/>
      </xdr:nvGraphicFramePr>
      <xdr:xfrm>
        <a:off x="0" y="809625"/>
        <a:ext cx="0" cy="97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C13" sqref="C13"/>
    </sheetView>
  </sheetViews>
  <sheetFormatPr defaultColWidth="12" defaultRowHeight="12.75"/>
  <cols>
    <col min="1" max="1" width="23.66015625" style="0" customWidth="1"/>
    <col min="2" max="3" width="10.5" style="0" customWidth="1"/>
    <col min="4" max="4" width="23.83203125" style="0" customWidth="1"/>
    <col min="5" max="5" width="10.16015625" style="0" customWidth="1"/>
    <col min="6" max="6" width="12.66015625" style="0" bestFit="1" customWidth="1"/>
  </cols>
  <sheetData>
    <row r="1" spans="1:4" ht="12.75">
      <c r="A1" t="s">
        <v>388</v>
      </c>
      <c r="D1" t="s">
        <v>378</v>
      </c>
    </row>
    <row r="2" spans="1:6" ht="12.75">
      <c r="A2" s="438" t="s">
        <v>381</v>
      </c>
      <c r="B2" s="438" t="s">
        <v>382</v>
      </c>
      <c r="C2" s="438" t="s">
        <v>383</v>
      </c>
      <c r="D2" s="438" t="s">
        <v>381</v>
      </c>
      <c r="E2" s="438" t="s">
        <v>382</v>
      </c>
      <c r="F2" s="438" t="s">
        <v>384</v>
      </c>
    </row>
    <row r="3" spans="1:6" ht="12.75">
      <c r="A3" s="42" t="s">
        <v>379</v>
      </c>
      <c r="B3" s="72" t="s">
        <v>380</v>
      </c>
      <c r="C3" s="439">
        <v>1000</v>
      </c>
      <c r="D3" s="72" t="s">
        <v>389</v>
      </c>
      <c r="E3" s="72" t="s">
        <v>104</v>
      </c>
      <c r="F3" s="439">
        <v>10000</v>
      </c>
    </row>
    <row r="4" spans="1:6" ht="12.75">
      <c r="A4" s="42" t="s">
        <v>385</v>
      </c>
      <c r="B4" s="72" t="s">
        <v>6</v>
      </c>
      <c r="C4" s="439">
        <v>1</v>
      </c>
      <c r="D4" s="72" t="s">
        <v>390</v>
      </c>
      <c r="E4" s="72" t="s">
        <v>21</v>
      </c>
      <c r="F4" s="439">
        <v>1000</v>
      </c>
    </row>
    <row r="5" spans="1:6" ht="12.75">
      <c r="A5" s="42" t="s">
        <v>386</v>
      </c>
      <c r="B5" s="72" t="s">
        <v>48</v>
      </c>
      <c r="C5" s="439">
        <v>3</v>
      </c>
      <c r="D5" s="72" t="s">
        <v>386</v>
      </c>
      <c r="E5" s="72" t="s">
        <v>48</v>
      </c>
      <c r="F5" s="439"/>
    </row>
    <row r="6" spans="1:6" ht="12.75">
      <c r="A6" s="42" t="s">
        <v>387</v>
      </c>
      <c r="B6" s="72" t="s">
        <v>31</v>
      </c>
      <c r="C6" s="439">
        <f>10*C3*C4*C5</f>
        <v>30000</v>
      </c>
      <c r="D6" s="72" t="s">
        <v>391</v>
      </c>
      <c r="E6" s="72" t="s">
        <v>392</v>
      </c>
      <c r="F6" s="439">
        <f>F3*F4</f>
        <v>10000000</v>
      </c>
    </row>
    <row r="7" spans="1:6" ht="12.75">
      <c r="A7" s="119" t="s">
        <v>395</v>
      </c>
      <c r="B7" s="72" t="s">
        <v>21</v>
      </c>
      <c r="C7" s="439">
        <v>800</v>
      </c>
      <c r="D7" s="119" t="s">
        <v>395</v>
      </c>
      <c r="E7" s="72" t="s">
        <v>21</v>
      </c>
      <c r="F7" s="439">
        <v>600</v>
      </c>
    </row>
    <row r="8" spans="1:6" ht="12.75">
      <c r="A8" s="119" t="s">
        <v>393</v>
      </c>
      <c r="B8" s="72" t="s">
        <v>394</v>
      </c>
      <c r="C8" s="439">
        <v>400</v>
      </c>
      <c r="D8" s="119" t="s">
        <v>393</v>
      </c>
      <c r="E8" s="72" t="s">
        <v>394</v>
      </c>
      <c r="F8" s="439">
        <v>400</v>
      </c>
    </row>
    <row r="9" spans="1:6" ht="12.75">
      <c r="A9" s="119" t="s">
        <v>397</v>
      </c>
      <c r="B9" s="72" t="s">
        <v>394</v>
      </c>
      <c r="C9" s="439">
        <v>700</v>
      </c>
      <c r="D9" s="42"/>
      <c r="E9" s="72"/>
      <c r="F9" s="439"/>
    </row>
    <row r="10" spans="1:6" ht="12.75">
      <c r="A10" s="119" t="s">
        <v>398</v>
      </c>
      <c r="B10" s="72" t="s">
        <v>394</v>
      </c>
      <c r="C10" s="439">
        <f>MIN(0.5*C9,0.9*C8)</f>
        <v>350</v>
      </c>
      <c r="D10" s="42"/>
      <c r="E10" s="72"/>
      <c r="F10" s="439"/>
    </row>
    <row r="11" spans="1:6" ht="12.75">
      <c r="A11" s="42"/>
      <c r="B11" s="72"/>
      <c r="C11" s="439"/>
      <c r="D11" s="42"/>
      <c r="E11" s="72"/>
      <c r="F11" s="439"/>
    </row>
    <row r="12" spans="1:6" ht="12.75">
      <c r="A12" s="42"/>
      <c r="B12" s="72"/>
      <c r="C12" s="439"/>
      <c r="D12" s="42"/>
      <c r="E12" s="72"/>
      <c r="F12" s="439"/>
    </row>
    <row r="13" spans="1:6" ht="12.75">
      <c r="A13" s="42" t="s">
        <v>399</v>
      </c>
      <c r="B13" s="72" t="s">
        <v>21</v>
      </c>
      <c r="C13" s="439">
        <f>(1000*C6/(C10*C7))^0.5</f>
        <v>10.350983390135314</v>
      </c>
      <c r="D13" s="42" t="s">
        <v>396</v>
      </c>
      <c r="E13" s="72" t="s">
        <v>21</v>
      </c>
      <c r="F13" s="439">
        <f>(2.55*F6/(F8*F7))^0.5</f>
        <v>10.307764064044152</v>
      </c>
    </row>
    <row r="14" spans="1:6" ht="12.75">
      <c r="A14" s="42"/>
      <c r="B14" s="72"/>
      <c r="C14" s="439"/>
      <c r="D14" s="42"/>
      <c r="E14" s="72"/>
      <c r="F14" s="439"/>
    </row>
    <row r="15" spans="1:6" ht="12.75">
      <c r="A15" s="42"/>
      <c r="B15" s="72"/>
      <c r="C15" s="439"/>
      <c r="D15" s="42"/>
      <c r="E15" s="72"/>
      <c r="F15" s="439"/>
    </row>
    <row r="16" spans="1:6" ht="12.75">
      <c r="A16" s="42"/>
      <c r="B16" s="72"/>
      <c r="C16" s="439"/>
      <c r="D16" s="42"/>
      <c r="E16" s="72"/>
      <c r="F16" s="439"/>
    </row>
    <row r="17" spans="1:6" ht="12.75">
      <c r="A17" s="42"/>
      <c r="B17" s="72"/>
      <c r="C17" s="439"/>
      <c r="D17" s="42"/>
      <c r="E17" s="72"/>
      <c r="F17" s="439"/>
    </row>
    <row r="18" spans="1:6" ht="12.75">
      <c r="A18" s="42"/>
      <c r="B18" s="72"/>
      <c r="C18" s="439"/>
      <c r="D18" s="42"/>
      <c r="E18" s="72"/>
      <c r="F18" s="439"/>
    </row>
    <row r="19" spans="1:6" ht="12.75">
      <c r="A19" s="42"/>
      <c r="B19" s="72"/>
      <c r="C19" s="439"/>
      <c r="D19" s="42"/>
      <c r="E19" s="72"/>
      <c r="F19" s="439"/>
    </row>
    <row r="20" spans="1:6" ht="12.75">
      <c r="A20" s="42"/>
      <c r="B20" s="42"/>
      <c r="C20" s="440"/>
      <c r="D20" s="42"/>
      <c r="E20" s="42"/>
      <c r="F20" s="440"/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6"/>
  <sheetViews>
    <sheetView zoomScale="75" zoomScaleNormal="75" workbookViewId="0" topLeftCell="A1">
      <selection activeCell="D2" sqref="D2"/>
    </sheetView>
  </sheetViews>
  <sheetFormatPr defaultColWidth="9.83203125" defaultRowHeight="12.75"/>
  <cols>
    <col min="1" max="1" width="6.5" style="124" customWidth="1"/>
    <col min="2" max="12" width="8" style="124" customWidth="1"/>
    <col min="13" max="13" width="8" style="0" customWidth="1"/>
    <col min="14" max="14" width="6.83203125" style="0" customWidth="1"/>
    <col min="15" max="16384" width="9.83203125" style="124" customWidth="1"/>
  </cols>
  <sheetData>
    <row r="1" spans="1:12" ht="13.5" thickBot="1">
      <c r="A1" s="120" t="s">
        <v>122</v>
      </c>
      <c r="B1" s="121"/>
      <c r="C1" s="121"/>
      <c r="D1" s="121"/>
      <c r="E1" s="121"/>
      <c r="F1" s="121"/>
      <c r="G1" s="121"/>
      <c r="H1" s="121"/>
      <c r="I1" s="121"/>
      <c r="J1" s="122"/>
      <c r="K1" s="121"/>
      <c r="L1" s="123"/>
    </row>
    <row r="2" spans="1:12" ht="13.5" thickBot="1">
      <c r="A2" s="125" t="s">
        <v>123</v>
      </c>
      <c r="B2" s="70"/>
      <c r="C2"/>
      <c r="D2" s="126"/>
      <c r="E2" s="127"/>
      <c r="F2" s="128"/>
      <c r="G2" s="128"/>
      <c r="H2" s="129"/>
      <c r="I2"/>
      <c r="J2"/>
      <c r="K2"/>
      <c r="L2"/>
    </row>
    <row r="3" spans="1:11" ht="13.5" thickBot="1">
      <c r="A3" s="130" t="s">
        <v>124</v>
      </c>
      <c r="B3" s="38"/>
      <c r="C3" s="131" t="s">
        <v>125</v>
      </c>
      <c r="D3" s="132"/>
      <c r="E3" s="132"/>
      <c r="F3" s="133"/>
      <c r="G3" s="134"/>
      <c r="H3" s="134"/>
      <c r="I3" s="134" t="s">
        <v>126</v>
      </c>
      <c r="J3" s="73"/>
      <c r="K3" s="73"/>
    </row>
    <row r="4" spans="1:13" ht="12.75">
      <c r="A4" s="135" t="s">
        <v>127</v>
      </c>
      <c r="B4" s="136" t="s">
        <v>7</v>
      </c>
      <c r="C4" s="136" t="s">
        <v>7</v>
      </c>
      <c r="D4" s="136" t="s">
        <v>7</v>
      </c>
      <c r="E4" s="136" t="s">
        <v>7</v>
      </c>
      <c r="F4" s="136" t="s">
        <v>7</v>
      </c>
      <c r="G4" s="136" t="s">
        <v>7</v>
      </c>
      <c r="H4" s="136" t="s">
        <v>7</v>
      </c>
      <c r="I4" s="136" t="s">
        <v>7</v>
      </c>
      <c r="J4" s="136" t="s">
        <v>7</v>
      </c>
      <c r="K4" s="81" t="s">
        <v>128</v>
      </c>
      <c r="L4" s="137"/>
      <c r="M4" s="38"/>
    </row>
    <row r="5" spans="1:13" ht="12.75">
      <c r="A5" s="135" t="s">
        <v>129</v>
      </c>
      <c r="B5" s="230" t="s">
        <v>130</v>
      </c>
      <c r="C5" s="230" t="s">
        <v>18</v>
      </c>
      <c r="D5" s="230" t="s">
        <v>131</v>
      </c>
      <c r="E5" s="230" t="s">
        <v>132</v>
      </c>
      <c r="F5" s="230" t="s">
        <v>18</v>
      </c>
      <c r="G5" s="230" t="s">
        <v>133</v>
      </c>
      <c r="H5" s="230" t="s">
        <v>134</v>
      </c>
      <c r="I5" s="230" t="s">
        <v>134</v>
      </c>
      <c r="J5" s="230" t="s">
        <v>134</v>
      </c>
      <c r="K5" s="138" t="s">
        <v>135</v>
      </c>
      <c r="L5" s="138" t="s">
        <v>136</v>
      </c>
      <c r="M5" s="138" t="s">
        <v>137</v>
      </c>
    </row>
    <row r="6" spans="1:13" ht="12.75">
      <c r="A6" s="135"/>
      <c r="B6" s="230" t="s">
        <v>138</v>
      </c>
      <c r="C6" s="230" t="s">
        <v>139</v>
      </c>
      <c r="D6" s="230" t="s">
        <v>139</v>
      </c>
      <c r="E6" s="230" t="s">
        <v>139</v>
      </c>
      <c r="F6" s="230" t="s">
        <v>140</v>
      </c>
      <c r="G6" s="230" t="s">
        <v>141</v>
      </c>
      <c r="H6" s="230" t="s">
        <v>142</v>
      </c>
      <c r="I6" s="230" t="s">
        <v>143</v>
      </c>
      <c r="J6" s="230" t="s">
        <v>144</v>
      </c>
      <c r="K6" s="138" t="s">
        <v>20</v>
      </c>
      <c r="L6" s="138" t="s">
        <v>20</v>
      </c>
      <c r="M6" s="138" t="s">
        <v>20</v>
      </c>
    </row>
    <row r="7" spans="1:13" ht="12.75">
      <c r="A7" s="135" t="s">
        <v>27</v>
      </c>
      <c r="B7" s="230" t="s">
        <v>5</v>
      </c>
      <c r="C7" s="230" t="s">
        <v>21</v>
      </c>
      <c r="D7" s="230" t="s">
        <v>5</v>
      </c>
      <c r="E7" s="230" t="s">
        <v>7</v>
      </c>
      <c r="F7" s="230" t="s">
        <v>7</v>
      </c>
      <c r="G7" s="230" t="s">
        <v>7</v>
      </c>
      <c r="H7" s="230" t="s">
        <v>7</v>
      </c>
      <c r="I7" s="230" t="s">
        <v>145</v>
      </c>
      <c r="J7" s="230" t="s">
        <v>145</v>
      </c>
      <c r="K7" s="138" t="s">
        <v>5</v>
      </c>
      <c r="L7" s="138" t="s">
        <v>5</v>
      </c>
      <c r="M7" s="138" t="s">
        <v>5</v>
      </c>
    </row>
    <row r="8" spans="1:13" ht="13.5" thickBot="1">
      <c r="A8" s="135" t="s">
        <v>28</v>
      </c>
      <c r="B8" s="241">
        <v>850</v>
      </c>
      <c r="C8" s="232">
        <v>5</v>
      </c>
      <c r="D8" s="241">
        <v>2200</v>
      </c>
      <c r="E8" s="232" t="s">
        <v>146</v>
      </c>
      <c r="F8" s="232">
        <v>10</v>
      </c>
      <c r="G8" s="232"/>
      <c r="H8" s="232">
        <v>2</v>
      </c>
      <c r="I8" s="232">
        <v>1.5</v>
      </c>
      <c r="J8" s="232">
        <v>2.5</v>
      </c>
      <c r="K8" s="116">
        <f>B8*H8</f>
        <v>1700</v>
      </c>
      <c r="L8" s="116">
        <f>K8*I8</f>
        <v>2550</v>
      </c>
      <c r="M8" s="116">
        <f>K8*J8</f>
        <v>4250</v>
      </c>
    </row>
    <row r="9" spans="1:15" ht="13.5" thickBot="1">
      <c r="A9" s="139"/>
      <c r="B9" s="140" t="s">
        <v>147</v>
      </c>
      <c r="C9" s="141"/>
      <c r="D9" s="142"/>
      <c r="E9" s="141"/>
      <c r="F9" s="143"/>
      <c r="G9" s="143"/>
      <c r="H9" s="143"/>
      <c r="I9" s="143"/>
      <c r="J9" s="143"/>
      <c r="K9" s="143"/>
      <c r="L9" s="143"/>
      <c r="M9" s="144"/>
      <c r="O9"/>
    </row>
    <row r="10" spans="1:15" ht="12.75">
      <c r="A10" s="135" t="s">
        <v>127</v>
      </c>
      <c r="B10" s="113" t="s">
        <v>7</v>
      </c>
      <c r="C10" s="113" t="s">
        <v>7</v>
      </c>
      <c r="D10" s="229"/>
      <c r="E10" s="113"/>
      <c r="F10" s="113" t="s">
        <v>7</v>
      </c>
      <c r="G10" s="113" t="s">
        <v>7</v>
      </c>
      <c r="H10" s="113" t="s">
        <v>7</v>
      </c>
      <c r="I10" s="113" t="s">
        <v>7</v>
      </c>
      <c r="J10" s="113" t="s">
        <v>7</v>
      </c>
      <c r="K10" s="113" t="s">
        <v>7</v>
      </c>
      <c r="L10" s="113" t="s">
        <v>7</v>
      </c>
      <c r="M10" s="113" t="s">
        <v>7</v>
      </c>
      <c r="O10"/>
    </row>
    <row r="11" spans="1:15" ht="12.75">
      <c r="A11" s="135" t="s">
        <v>129</v>
      </c>
      <c r="B11" s="230" t="s">
        <v>148</v>
      </c>
      <c r="C11" s="230" t="s">
        <v>149</v>
      </c>
      <c r="D11" s="138" t="s">
        <v>150</v>
      </c>
      <c r="E11" s="138" t="s">
        <v>25</v>
      </c>
      <c r="F11" s="230" t="s">
        <v>18</v>
      </c>
      <c r="G11" s="230" t="s">
        <v>151</v>
      </c>
      <c r="H11" s="230" t="s">
        <v>152</v>
      </c>
      <c r="I11" s="230" t="s">
        <v>153</v>
      </c>
      <c r="J11" s="230" t="s">
        <v>154</v>
      </c>
      <c r="K11" s="230" t="s">
        <v>155</v>
      </c>
      <c r="L11" s="230" t="s">
        <v>156</v>
      </c>
      <c r="M11" s="230" t="s">
        <v>4</v>
      </c>
      <c r="O11"/>
    </row>
    <row r="12" spans="1:15" ht="12.75">
      <c r="A12" s="135"/>
      <c r="B12" s="230" t="s">
        <v>157</v>
      </c>
      <c r="C12" s="230" t="s">
        <v>158</v>
      </c>
      <c r="D12" s="138" t="s">
        <v>159</v>
      </c>
      <c r="E12" s="138" t="s">
        <v>160</v>
      </c>
      <c r="F12" s="230" t="s">
        <v>140</v>
      </c>
      <c r="G12" s="230" t="s">
        <v>161</v>
      </c>
      <c r="H12" s="230" t="s">
        <v>161</v>
      </c>
      <c r="I12" s="230" t="s">
        <v>162</v>
      </c>
      <c r="J12" s="230" t="s">
        <v>162</v>
      </c>
      <c r="K12" s="230" t="s">
        <v>163</v>
      </c>
      <c r="L12" s="230" t="s">
        <v>164</v>
      </c>
      <c r="M12" s="230" t="s">
        <v>164</v>
      </c>
      <c r="O12"/>
    </row>
    <row r="13" spans="1:15" ht="12.75">
      <c r="A13" s="135" t="s">
        <v>27</v>
      </c>
      <c r="B13" s="230" t="s">
        <v>7</v>
      </c>
      <c r="C13" s="230" t="s">
        <v>165</v>
      </c>
      <c r="D13" s="138" t="s">
        <v>165</v>
      </c>
      <c r="E13" s="138" t="s">
        <v>165</v>
      </c>
      <c r="F13" s="230" t="s">
        <v>21</v>
      </c>
      <c r="G13" s="230" t="s">
        <v>21</v>
      </c>
      <c r="H13" s="230" t="s">
        <v>21</v>
      </c>
      <c r="I13" s="230" t="s">
        <v>21</v>
      </c>
      <c r="J13" s="230" t="s">
        <v>21</v>
      </c>
      <c r="K13" s="230" t="s">
        <v>21</v>
      </c>
      <c r="L13" s="230" t="s">
        <v>21</v>
      </c>
      <c r="M13" s="230" t="s">
        <v>21</v>
      </c>
      <c r="O13"/>
    </row>
    <row r="14" spans="1:15" ht="13.5" thickBot="1">
      <c r="A14" s="135" t="s">
        <v>28</v>
      </c>
      <c r="B14" s="231" t="s">
        <v>166</v>
      </c>
      <c r="C14" s="232">
        <v>55</v>
      </c>
      <c r="D14" s="145">
        <f>C14*1.66</f>
        <v>91.3</v>
      </c>
      <c r="E14" s="145">
        <f>C14*0.6</f>
        <v>33</v>
      </c>
      <c r="F14" s="233">
        <v>10</v>
      </c>
      <c r="G14" s="233">
        <v>10</v>
      </c>
      <c r="H14" s="233">
        <v>10</v>
      </c>
      <c r="I14" s="233">
        <v>5</v>
      </c>
      <c r="J14" s="233">
        <v>40</v>
      </c>
      <c r="K14" s="233">
        <v>15</v>
      </c>
      <c r="L14" s="233">
        <v>0</v>
      </c>
      <c r="M14" s="233">
        <v>30</v>
      </c>
      <c r="O14"/>
    </row>
    <row r="15" spans="1:15" ht="13.5" thickBot="1">
      <c r="A15" s="139"/>
      <c r="B15" s="234" t="s">
        <v>167</v>
      </c>
      <c r="C15" s="235"/>
      <c r="D15" s="236"/>
      <c r="E15" s="235"/>
      <c r="F15" s="237"/>
      <c r="G15" s="237"/>
      <c r="H15" s="237"/>
      <c r="I15" s="237"/>
      <c r="J15" s="237"/>
      <c r="K15" s="237"/>
      <c r="L15" s="237"/>
      <c r="M15" s="238"/>
      <c r="O15"/>
    </row>
    <row r="16" spans="1:15" ht="12.75">
      <c r="A16" s="135" t="s">
        <v>127</v>
      </c>
      <c r="B16" s="113" t="s">
        <v>7</v>
      </c>
      <c r="C16" s="113" t="s">
        <v>7</v>
      </c>
      <c r="D16" s="229"/>
      <c r="E16" s="113"/>
      <c r="F16" s="113" t="s">
        <v>7</v>
      </c>
      <c r="G16" s="113" t="s">
        <v>7</v>
      </c>
      <c r="H16" s="113" t="s">
        <v>7</v>
      </c>
      <c r="I16" s="113" t="s">
        <v>7</v>
      </c>
      <c r="J16" s="113" t="s">
        <v>7</v>
      </c>
      <c r="K16" s="239"/>
      <c r="L16" s="239"/>
      <c r="M16" s="239"/>
      <c r="O16"/>
    </row>
    <row r="17" spans="1:15" ht="12.75">
      <c r="A17" s="135" t="s">
        <v>129</v>
      </c>
      <c r="B17" s="230" t="s">
        <v>148</v>
      </c>
      <c r="C17" s="230" t="s">
        <v>149</v>
      </c>
      <c r="D17" s="138" t="s">
        <v>150</v>
      </c>
      <c r="E17" s="138" t="s">
        <v>25</v>
      </c>
      <c r="F17" s="230" t="s">
        <v>18</v>
      </c>
      <c r="G17" s="230" t="s">
        <v>168</v>
      </c>
      <c r="H17" s="230" t="s">
        <v>169</v>
      </c>
      <c r="I17" s="230" t="s">
        <v>169</v>
      </c>
      <c r="J17" s="230" t="s">
        <v>169</v>
      </c>
      <c r="K17" s="239"/>
      <c r="L17" s="239"/>
      <c r="M17" s="239"/>
      <c r="O17"/>
    </row>
    <row r="18" spans="1:15" ht="12.75">
      <c r="A18" s="135"/>
      <c r="B18" s="230" t="s">
        <v>46</v>
      </c>
      <c r="C18" s="230" t="s">
        <v>158</v>
      </c>
      <c r="D18" s="138" t="s">
        <v>159</v>
      </c>
      <c r="E18" s="138" t="s">
        <v>160</v>
      </c>
      <c r="F18" s="230" t="s">
        <v>46</v>
      </c>
      <c r="G18" s="230" t="s">
        <v>46</v>
      </c>
      <c r="H18" s="230" t="s">
        <v>170</v>
      </c>
      <c r="I18" s="230" t="s">
        <v>171</v>
      </c>
      <c r="J18" s="230" t="s">
        <v>172</v>
      </c>
      <c r="K18" s="239"/>
      <c r="L18" s="239"/>
      <c r="M18" s="239"/>
      <c r="O18"/>
    </row>
    <row r="19" spans="1:15" s="148" customFormat="1" ht="12.75">
      <c r="A19" s="135" t="s">
        <v>27</v>
      </c>
      <c r="B19" s="230" t="s">
        <v>7</v>
      </c>
      <c r="C19" s="230" t="s">
        <v>165</v>
      </c>
      <c r="D19" s="138" t="s">
        <v>165</v>
      </c>
      <c r="E19" s="138" t="s">
        <v>165</v>
      </c>
      <c r="F19" s="230" t="s">
        <v>21</v>
      </c>
      <c r="G19" s="230" t="s">
        <v>7</v>
      </c>
      <c r="H19" s="230" t="s">
        <v>7</v>
      </c>
      <c r="I19" s="230" t="s">
        <v>7</v>
      </c>
      <c r="J19" s="230" t="s">
        <v>7</v>
      </c>
      <c r="K19" s="239"/>
      <c r="L19" s="239"/>
      <c r="M19" s="147"/>
      <c r="N19" s="147"/>
      <c r="O19" s="147"/>
    </row>
    <row r="20" spans="1:15" s="148" customFormat="1" ht="13.5" thickBot="1">
      <c r="A20" s="135" t="s">
        <v>28</v>
      </c>
      <c r="B20" s="231" t="s">
        <v>173</v>
      </c>
      <c r="C20" s="232">
        <v>70</v>
      </c>
      <c r="D20" s="145">
        <f>C20*1.66</f>
        <v>116.19999999999999</v>
      </c>
      <c r="E20" s="145">
        <f>C20*0.6</f>
        <v>42</v>
      </c>
      <c r="F20" s="232">
        <v>8</v>
      </c>
      <c r="G20" s="232">
        <v>6</v>
      </c>
      <c r="H20" s="232">
        <v>1</v>
      </c>
      <c r="I20" s="232">
        <v>1</v>
      </c>
      <c r="J20" s="232">
        <v>1</v>
      </c>
      <c r="K20" s="239"/>
      <c r="L20" s="239"/>
      <c r="M20" s="147"/>
      <c r="N20" s="147"/>
      <c r="O20" s="147"/>
    </row>
    <row r="21" spans="1:15" ht="13.5" thickBot="1">
      <c r="A21" s="139"/>
      <c r="B21" s="234" t="s">
        <v>174</v>
      </c>
      <c r="C21" s="235"/>
      <c r="D21" s="236"/>
      <c r="E21" s="235"/>
      <c r="F21" s="237"/>
      <c r="G21" s="237"/>
      <c r="H21" s="237"/>
      <c r="I21" s="237"/>
      <c r="J21" s="237"/>
      <c r="K21" s="237"/>
      <c r="L21" s="237"/>
      <c r="M21" s="238"/>
      <c r="O21"/>
    </row>
    <row r="22" spans="1:15" ht="12.75">
      <c r="A22" s="135" t="s">
        <v>127</v>
      </c>
      <c r="B22" s="113" t="s">
        <v>7</v>
      </c>
      <c r="C22" s="113" t="s">
        <v>7</v>
      </c>
      <c r="D22" s="113" t="s">
        <v>7</v>
      </c>
      <c r="E22" s="113" t="s">
        <v>7</v>
      </c>
      <c r="F22" s="113" t="s">
        <v>7</v>
      </c>
      <c r="G22" s="113" t="s">
        <v>7</v>
      </c>
      <c r="H22" s="113" t="s">
        <v>7</v>
      </c>
      <c r="I22" s="138"/>
      <c r="J22" s="113" t="s">
        <v>7</v>
      </c>
      <c r="K22" s="113" t="s">
        <v>7</v>
      </c>
      <c r="L22" s="113" t="s">
        <v>7</v>
      </c>
      <c r="M22" s="138"/>
      <c r="O22"/>
    </row>
    <row r="23" spans="1:15" ht="12.75">
      <c r="A23" s="135" t="s">
        <v>129</v>
      </c>
      <c r="B23" s="230" t="s">
        <v>148</v>
      </c>
      <c r="C23" s="230" t="s">
        <v>150</v>
      </c>
      <c r="D23" s="230" t="s">
        <v>65</v>
      </c>
      <c r="E23" s="230" t="s">
        <v>175</v>
      </c>
      <c r="F23" s="240" t="s">
        <v>176</v>
      </c>
      <c r="G23" s="230"/>
      <c r="H23" s="230"/>
      <c r="I23" s="138"/>
      <c r="J23" s="240" t="s">
        <v>177</v>
      </c>
      <c r="K23" s="230"/>
      <c r="L23" s="230"/>
      <c r="M23" s="138"/>
      <c r="O23"/>
    </row>
    <row r="24" spans="1:15" ht="12.75">
      <c r="A24" s="135"/>
      <c r="B24" s="230" t="s">
        <v>178</v>
      </c>
      <c r="C24" s="230" t="s">
        <v>159</v>
      </c>
      <c r="D24" s="230" t="s">
        <v>178</v>
      </c>
      <c r="E24" s="230" t="s">
        <v>178</v>
      </c>
      <c r="F24" s="230" t="s">
        <v>179</v>
      </c>
      <c r="G24" s="230" t="s">
        <v>150</v>
      </c>
      <c r="H24" s="230" t="s">
        <v>25</v>
      </c>
      <c r="I24" s="230" t="s">
        <v>156</v>
      </c>
      <c r="J24" s="230" t="s">
        <v>179</v>
      </c>
      <c r="K24" s="230" t="s">
        <v>150</v>
      </c>
      <c r="L24" s="230" t="s">
        <v>25</v>
      </c>
      <c r="M24" s="230" t="s">
        <v>156</v>
      </c>
      <c r="O24"/>
    </row>
    <row r="25" spans="1:15" s="148" customFormat="1" ht="12.75">
      <c r="A25" s="135" t="s">
        <v>27</v>
      </c>
      <c r="B25" s="230" t="s">
        <v>7</v>
      </c>
      <c r="C25" s="230" t="s">
        <v>165</v>
      </c>
      <c r="D25" s="230" t="s">
        <v>21</v>
      </c>
      <c r="E25" s="230" t="s">
        <v>21</v>
      </c>
      <c r="F25" s="230" t="s">
        <v>7</v>
      </c>
      <c r="G25" s="230" t="s">
        <v>165</v>
      </c>
      <c r="H25" s="230" t="s">
        <v>165</v>
      </c>
      <c r="I25" s="230" t="s">
        <v>21</v>
      </c>
      <c r="J25" s="230" t="s">
        <v>7</v>
      </c>
      <c r="K25" s="230" t="s">
        <v>165</v>
      </c>
      <c r="L25" s="230" t="s">
        <v>165</v>
      </c>
      <c r="M25" s="230" t="s">
        <v>21</v>
      </c>
      <c r="N25" s="147"/>
      <c r="O25" s="147"/>
    </row>
    <row r="26" spans="1:15" s="148" customFormat="1" ht="13.5" thickBot="1">
      <c r="A26" s="135" t="s">
        <v>28</v>
      </c>
      <c r="B26" s="231" t="s">
        <v>180</v>
      </c>
      <c r="C26" s="232">
        <v>10</v>
      </c>
      <c r="D26" s="232">
        <v>10</v>
      </c>
      <c r="E26" s="232">
        <v>10</v>
      </c>
      <c r="F26" s="231" t="s">
        <v>181</v>
      </c>
      <c r="G26" s="232">
        <v>25</v>
      </c>
      <c r="H26" s="232">
        <v>5.6</v>
      </c>
      <c r="I26" s="232">
        <v>2</v>
      </c>
      <c r="J26" s="231" t="s">
        <v>182</v>
      </c>
      <c r="K26" s="232">
        <v>4</v>
      </c>
      <c r="L26" s="232">
        <v>1</v>
      </c>
      <c r="M26" s="232">
        <v>12</v>
      </c>
      <c r="N26" s="147"/>
      <c r="O26" s="147"/>
    </row>
    <row r="27" spans="1:15" ht="13.5" thickBot="1">
      <c r="A27" s="140" t="s">
        <v>183</v>
      </c>
      <c r="B27" s="149"/>
      <c r="C27" s="141"/>
      <c r="D27" s="142"/>
      <c r="E27" s="141"/>
      <c r="F27" s="143"/>
      <c r="G27" s="143"/>
      <c r="H27" s="143"/>
      <c r="I27" s="143"/>
      <c r="J27" s="144"/>
      <c r="K27" s="150" t="s">
        <v>184</v>
      </c>
      <c r="L27" s="151"/>
      <c r="M27" s="21"/>
      <c r="O27"/>
    </row>
    <row r="28" spans="1:17" ht="12.75">
      <c r="A28" s="152"/>
      <c r="B28" s="153"/>
      <c r="C28" s="154"/>
      <c r="D28" s="154"/>
      <c r="E28" s="155"/>
      <c r="F28" s="156" t="s">
        <v>185</v>
      </c>
      <c r="G28" s="156" t="s">
        <v>186</v>
      </c>
      <c r="H28" s="156" t="s">
        <v>187</v>
      </c>
      <c r="I28" s="156" t="s">
        <v>188</v>
      </c>
      <c r="J28" s="156" t="s">
        <v>189</v>
      </c>
      <c r="K28" s="157" t="s">
        <v>154</v>
      </c>
      <c r="L28" s="158" t="s">
        <v>153</v>
      </c>
      <c r="O28"/>
      <c r="P28"/>
      <c r="Q28"/>
    </row>
    <row r="29" spans="1:17" ht="12.75">
      <c r="A29" s="159" t="s">
        <v>190</v>
      </c>
      <c r="B29" s="160"/>
      <c r="C29" s="161"/>
      <c r="D29" s="161"/>
      <c r="E29" s="162"/>
      <c r="F29" s="163" t="s">
        <v>191</v>
      </c>
      <c r="G29" s="163" t="s">
        <v>5</v>
      </c>
      <c r="H29" s="163" t="s">
        <v>5</v>
      </c>
      <c r="I29" s="163" t="s">
        <v>7</v>
      </c>
      <c r="J29" s="163" t="s">
        <v>7</v>
      </c>
      <c r="K29" s="164" t="s">
        <v>191</v>
      </c>
      <c r="L29" s="165" t="s">
        <v>191</v>
      </c>
      <c r="O29"/>
      <c r="P29"/>
      <c r="Q29"/>
    </row>
    <row r="30" spans="1:17" ht="12.75">
      <c r="A30" s="166" t="s">
        <v>192</v>
      </c>
      <c r="B30" s="167"/>
      <c r="C30" s="167"/>
      <c r="D30" s="168"/>
      <c r="E30" s="169"/>
      <c r="F30" s="170">
        <f>L30*(K30-H14)</f>
        <v>150</v>
      </c>
      <c r="G30" s="170">
        <f>F30*C$14</f>
        <v>8250</v>
      </c>
      <c r="H30" s="170">
        <f>L8</f>
        <v>2550</v>
      </c>
      <c r="I30" s="171">
        <f>G30/B$8</f>
        <v>9.705882352941176</v>
      </c>
      <c r="J30" s="172">
        <f>I30/(H$8*I$8)</f>
        <v>3.2352941176470584</v>
      </c>
      <c r="K30" s="173">
        <f>J14</f>
        <v>40</v>
      </c>
      <c r="L30" s="174">
        <f>I14+L14</f>
        <v>5</v>
      </c>
      <c r="O30"/>
      <c r="P30"/>
      <c r="Q30"/>
    </row>
    <row r="31" spans="1:17" ht="12.75">
      <c r="A31" s="166" t="s">
        <v>193</v>
      </c>
      <c r="B31" s="175"/>
      <c r="C31" s="176"/>
      <c r="D31" s="177"/>
      <c r="E31" s="177"/>
      <c r="F31" s="170">
        <f>K31*L31</f>
        <v>200</v>
      </c>
      <c r="G31" s="170">
        <f>F31*C$14</f>
        <v>11000</v>
      </c>
      <c r="H31" s="178">
        <f>H30</f>
        <v>2550</v>
      </c>
      <c r="I31" s="171">
        <f>G31/B$8</f>
        <v>12.941176470588236</v>
      </c>
      <c r="J31" s="172">
        <f>I31/(H$8*I$8)</f>
        <v>4.313725490196078</v>
      </c>
      <c r="K31" s="179">
        <f>K30</f>
        <v>40</v>
      </c>
      <c r="L31" s="180">
        <f>I14</f>
        <v>5</v>
      </c>
      <c r="O31"/>
      <c r="P31"/>
      <c r="Q31"/>
    </row>
    <row r="32" spans="1:17" ht="12.75">
      <c r="A32" s="166" t="s">
        <v>194</v>
      </c>
      <c r="B32" s="175"/>
      <c r="C32" s="175"/>
      <c r="D32" s="181"/>
      <c r="E32" s="182"/>
      <c r="F32" s="170">
        <f>L32*(K32-F$20*H$20)</f>
        <v>160</v>
      </c>
      <c r="G32" s="170">
        <f>F32*C$14</f>
        <v>8800</v>
      </c>
      <c r="H32" s="178">
        <f>H31</f>
        <v>2550</v>
      </c>
      <c r="I32" s="171">
        <f>G32/B$8</f>
        <v>10.352941176470589</v>
      </c>
      <c r="J32" s="172">
        <f>I32/(H$8*I$8)</f>
        <v>3.450980392156863</v>
      </c>
      <c r="K32" s="179">
        <f>K31</f>
        <v>40</v>
      </c>
      <c r="L32" s="180">
        <f>L31</f>
        <v>5</v>
      </c>
      <c r="O32"/>
      <c r="P32"/>
      <c r="Q32"/>
    </row>
    <row r="33" spans="1:17" s="148" customFormat="1" ht="12.75">
      <c r="A33" s="166" t="s">
        <v>195</v>
      </c>
      <c r="B33" s="175"/>
      <c r="C33" s="175"/>
      <c r="D33" s="181"/>
      <c r="E33" s="182"/>
      <c r="F33" s="170">
        <f>L33*(K33-F$20*I$20)</f>
        <v>160</v>
      </c>
      <c r="G33" s="170">
        <f>F33*C$14</f>
        <v>8800</v>
      </c>
      <c r="H33" s="170">
        <f>H32-J$44*H$20</f>
        <v>-1102</v>
      </c>
      <c r="I33" s="171">
        <f>G33/B$8</f>
        <v>10.352941176470589</v>
      </c>
      <c r="J33" s="172">
        <f>I33/(H$8*I$8)</f>
        <v>3.450980392156863</v>
      </c>
      <c r="K33" s="179">
        <f>K32</f>
        <v>40</v>
      </c>
      <c r="L33" s="180">
        <f>$I$14</f>
        <v>5</v>
      </c>
      <c r="M33"/>
      <c r="N33"/>
      <c r="O33"/>
      <c r="P33" s="147"/>
      <c r="Q33" s="147"/>
    </row>
    <row r="34" spans="1:17" s="148" customFormat="1" ht="13.5" thickBot="1">
      <c r="A34" s="183" t="s">
        <v>196</v>
      </c>
      <c r="B34" s="184"/>
      <c r="C34" s="184"/>
      <c r="D34" s="185"/>
      <c r="E34" s="186"/>
      <c r="F34" s="170">
        <f>L34*(K34-F$20*J$20)</f>
        <v>160</v>
      </c>
      <c r="G34" s="170">
        <f>F34*C$14</f>
        <v>8800</v>
      </c>
      <c r="H34" s="187"/>
      <c r="I34" s="171">
        <f>G34/B$8</f>
        <v>10.352941176470589</v>
      </c>
      <c r="J34" s="172">
        <f>I34/(H$8*I$8)</f>
        <v>3.450980392156863</v>
      </c>
      <c r="K34" s="179">
        <f>K33</f>
        <v>40</v>
      </c>
      <c r="L34" s="188">
        <f>$I$14</f>
        <v>5</v>
      </c>
      <c r="M34"/>
      <c r="N34"/>
      <c r="O34"/>
      <c r="P34" s="147"/>
      <c r="Q34" s="147"/>
    </row>
    <row r="35" spans="1:16" s="148" customFormat="1" ht="13.5" thickBot="1">
      <c r="A35" s="152"/>
      <c r="B35" s="153"/>
      <c r="C35" s="154"/>
      <c r="D35" s="154"/>
      <c r="E35" s="155"/>
      <c r="F35" s="189" t="s">
        <v>197</v>
      </c>
      <c r="G35" s="189" t="s">
        <v>198</v>
      </c>
      <c r="H35" s="190" t="s">
        <v>188</v>
      </c>
      <c r="I35" s="158" t="s">
        <v>189</v>
      </c>
      <c r="J35"/>
      <c r="K35"/>
      <c r="L35"/>
      <c r="M35"/>
      <c r="N35"/>
      <c r="O35" s="147"/>
      <c r="P35" s="147"/>
    </row>
    <row r="36" spans="1:16" s="148" customFormat="1" ht="13.5" thickBot="1">
      <c r="A36" s="159" t="s">
        <v>199</v>
      </c>
      <c r="B36" s="160"/>
      <c r="C36" s="161"/>
      <c r="D36" s="161"/>
      <c r="E36" s="162"/>
      <c r="F36" s="163" t="s">
        <v>191</v>
      </c>
      <c r="G36" s="163" t="s">
        <v>5</v>
      </c>
      <c r="H36" s="163" t="s">
        <v>7</v>
      </c>
      <c r="I36" s="165" t="s">
        <v>7</v>
      </c>
      <c r="J36"/>
      <c r="K36" s="191" t="s">
        <v>200</v>
      </c>
      <c r="L36" s="192"/>
      <c r="M36"/>
      <c r="N36"/>
      <c r="O36" s="147"/>
      <c r="P36" s="147"/>
    </row>
    <row r="37" spans="1:16" s="148" customFormat="1" ht="13.5" thickBot="1">
      <c r="A37" s="193" t="s">
        <v>201</v>
      </c>
      <c r="B37" s="194"/>
      <c r="C37" s="195"/>
      <c r="D37" s="196"/>
      <c r="E37" s="73"/>
      <c r="F37" s="197">
        <f>H14*(I14+L14)</f>
        <v>50</v>
      </c>
      <c r="G37" s="197">
        <f>F37*D14</f>
        <v>4565</v>
      </c>
      <c r="H37" s="198">
        <f>G37/B$8</f>
        <v>5.370588235294117</v>
      </c>
      <c r="I37" s="199">
        <f>H37/($H$8*$I$8)</f>
        <v>1.7901960784313724</v>
      </c>
      <c r="J37"/>
      <c r="K37" s="200" t="s">
        <v>202</v>
      </c>
      <c r="L37" s="201"/>
      <c r="M37" s="202">
        <f>MIN(J$30,J$31,I$37,I$40,M44,M49,M52,M53)</f>
        <v>1.383529411764706</v>
      </c>
      <c r="N37" s="147"/>
      <c r="O37" s="147"/>
      <c r="P37" s="147"/>
    </row>
    <row r="38" spans="1:16" s="148" customFormat="1" ht="12.75">
      <c r="A38" s="152"/>
      <c r="B38" s="153"/>
      <c r="C38" s="154"/>
      <c r="D38" s="154"/>
      <c r="E38" s="155"/>
      <c r="F38" s="189" t="s">
        <v>185</v>
      </c>
      <c r="G38" s="189" t="s">
        <v>203</v>
      </c>
      <c r="H38" s="190" t="s">
        <v>188</v>
      </c>
      <c r="I38" s="158" t="s">
        <v>189</v>
      </c>
      <c r="J38"/>
      <c r="K38"/>
      <c r="L38"/>
      <c r="M38" s="146"/>
      <c r="N38" s="147"/>
      <c r="O38" s="147"/>
      <c r="P38" s="147"/>
    </row>
    <row r="39" spans="1:16" s="148" customFormat="1" ht="12.75">
      <c r="A39" s="159" t="s">
        <v>204</v>
      </c>
      <c r="B39" s="160"/>
      <c r="C39" s="161"/>
      <c r="D39" s="161"/>
      <c r="E39" s="162"/>
      <c r="F39" s="163" t="s">
        <v>191</v>
      </c>
      <c r="G39" s="163" t="s">
        <v>5</v>
      </c>
      <c r="H39" s="163" t="s">
        <v>7</v>
      </c>
      <c r="I39" s="165" t="s">
        <v>7</v>
      </c>
      <c r="J39"/>
      <c r="K39"/>
      <c r="L39"/>
      <c r="M39" s="146"/>
      <c r="N39" s="147"/>
      <c r="O39" s="147"/>
      <c r="P39" s="147"/>
    </row>
    <row r="40" spans="1:16" s="148" customFormat="1" ht="13.5" thickBot="1">
      <c r="A40" s="203"/>
      <c r="B40" s="204"/>
      <c r="C40" s="204"/>
      <c r="D40" s="204"/>
      <c r="E40" s="204"/>
      <c r="F40" s="197">
        <f>2*((K14-0.383*H14)*I14+(M14/2-0.383*H14)*L14)</f>
        <v>111.7</v>
      </c>
      <c r="G40" s="197">
        <f>F40*E14</f>
        <v>3686.1</v>
      </c>
      <c r="H40" s="198">
        <f>G40/$B$8</f>
        <v>4.336588235294117</v>
      </c>
      <c r="I40" s="199">
        <f>H40/($H$8*$I$8)</f>
        <v>1.4455294117647057</v>
      </c>
      <c r="J40"/>
      <c r="K40"/>
      <c r="L40"/>
      <c r="M40" s="146"/>
      <c r="N40" s="147"/>
      <c r="O40" s="147"/>
      <c r="P40" s="147"/>
    </row>
    <row r="41" spans="1:16" ht="13.5" thickBot="1">
      <c r="A41" s="140" t="s">
        <v>205</v>
      </c>
      <c r="B41" s="149"/>
      <c r="C41" s="141"/>
      <c r="D41" s="141"/>
      <c r="E41" s="142"/>
      <c r="F41" s="141"/>
      <c r="G41" s="143"/>
      <c r="H41" s="143"/>
      <c r="I41" s="143"/>
      <c r="J41" s="143"/>
      <c r="K41" s="143"/>
      <c r="L41" s="205"/>
      <c r="M41" s="151"/>
      <c r="N41" s="21"/>
      <c r="O41"/>
      <c r="P41"/>
    </row>
    <row r="42" spans="1:17" ht="12.75">
      <c r="A42" s="152"/>
      <c r="B42" s="153"/>
      <c r="C42" s="154"/>
      <c r="D42" s="154"/>
      <c r="E42" s="154"/>
      <c r="F42" s="156" t="s">
        <v>206</v>
      </c>
      <c r="G42" s="156" t="s">
        <v>207</v>
      </c>
      <c r="H42" s="156" t="s">
        <v>208</v>
      </c>
      <c r="I42" s="156" t="s">
        <v>209</v>
      </c>
      <c r="J42" s="156" t="s">
        <v>210</v>
      </c>
      <c r="K42" s="156" t="s">
        <v>211</v>
      </c>
      <c r="L42" s="156" t="s">
        <v>188</v>
      </c>
      <c r="M42" s="158" t="s">
        <v>189</v>
      </c>
      <c r="O42"/>
      <c r="P42"/>
      <c r="Q42"/>
    </row>
    <row r="43" spans="1:17" ht="12.75">
      <c r="A43" s="159" t="s">
        <v>212</v>
      </c>
      <c r="B43" s="160"/>
      <c r="C43" s="161"/>
      <c r="D43" s="161"/>
      <c r="E43" s="161"/>
      <c r="F43" s="163" t="s">
        <v>7</v>
      </c>
      <c r="G43" s="163" t="s">
        <v>21</v>
      </c>
      <c r="H43" s="163" t="s">
        <v>21</v>
      </c>
      <c r="I43" s="163" t="s">
        <v>191</v>
      </c>
      <c r="J43" s="163" t="s">
        <v>5</v>
      </c>
      <c r="K43" s="163" t="s">
        <v>5</v>
      </c>
      <c r="L43" s="163" t="s">
        <v>191</v>
      </c>
      <c r="M43" s="165" t="s">
        <v>7</v>
      </c>
      <c r="O43"/>
      <c r="P43"/>
      <c r="Q43"/>
    </row>
    <row r="44" spans="1:17" ht="13.5" thickBot="1">
      <c r="A44"/>
      <c r="B44"/>
      <c r="C44"/>
      <c r="D44"/>
      <c r="E44"/>
      <c r="F44" s="206">
        <f>G$20</f>
        <v>6</v>
      </c>
      <c r="G44" s="206">
        <f>F$20</f>
        <v>8</v>
      </c>
      <c r="H44" s="206">
        <f>$I$14</f>
        <v>5</v>
      </c>
      <c r="I44" s="206">
        <f>G44*H44</f>
        <v>40</v>
      </c>
      <c r="J44" s="207">
        <f>$I44*$D14</f>
        <v>3652</v>
      </c>
      <c r="K44" s="207">
        <f>J44*$F44</f>
        <v>21912</v>
      </c>
      <c r="L44" s="198">
        <f>K44/$B$8</f>
        <v>25.778823529411763</v>
      </c>
      <c r="M44" s="199">
        <f>K44/M$8</f>
        <v>5.155764705882353</v>
      </c>
      <c r="O44"/>
      <c r="P44"/>
      <c r="Q44"/>
    </row>
    <row r="45" spans="1:16" s="148" customFormat="1" ht="12.75">
      <c r="A45" s="208" t="s">
        <v>213</v>
      </c>
      <c r="B45" s="14"/>
      <c r="C45" s="14"/>
      <c r="D45" s="14"/>
      <c r="E45" s="14"/>
      <c r="F45" s="209"/>
      <c r="G45" s="210">
        <f>H44*K49/K44</f>
        <v>2.8904028795349688</v>
      </c>
      <c r="H45" s="191" t="s">
        <v>214</v>
      </c>
      <c r="I45" s="211"/>
      <c r="J45" s="212" t="s">
        <v>215</v>
      </c>
      <c r="K45" s="213">
        <f>MIN(200,16*H44)</f>
        <v>80</v>
      </c>
      <c r="L45" s="214" t="s">
        <v>216</v>
      </c>
      <c r="M45" s="215">
        <f>3*G44</f>
        <v>24</v>
      </c>
      <c r="N45" s="147"/>
      <c r="O45" s="147"/>
      <c r="P45" s="147"/>
    </row>
    <row r="46" spans="1:16" s="148" customFormat="1" ht="13.5" thickBot="1">
      <c r="A46" s="216"/>
      <c r="B46" s="21"/>
      <c r="C46" s="21"/>
      <c r="D46" s="21"/>
      <c r="E46" s="21"/>
      <c r="F46" s="217"/>
      <c r="G46" s="217"/>
      <c r="H46" s="200" t="s">
        <v>217</v>
      </c>
      <c r="I46" s="218"/>
      <c r="J46" s="219" t="s">
        <v>218</v>
      </c>
      <c r="K46" s="197">
        <f>MIN(32*H44,300)</f>
        <v>160</v>
      </c>
      <c r="L46" s="220" t="s">
        <v>219</v>
      </c>
      <c r="M46" s="221">
        <f>3*G44</f>
        <v>24</v>
      </c>
      <c r="N46" s="147"/>
      <c r="O46" s="147"/>
      <c r="P46" s="147"/>
    </row>
    <row r="47" spans="1:17" ht="12.75">
      <c r="A47" s="222"/>
      <c r="B47" s="223"/>
      <c r="C47" s="224"/>
      <c r="D47" s="224"/>
      <c r="E47" s="224"/>
      <c r="F47" s="163" t="s">
        <v>206</v>
      </c>
      <c r="G47" s="163" t="s">
        <v>207</v>
      </c>
      <c r="H47" s="163" t="s">
        <v>206</v>
      </c>
      <c r="I47" s="163" t="s">
        <v>220</v>
      </c>
      <c r="J47" s="163" t="s">
        <v>221</v>
      </c>
      <c r="K47" s="163" t="s">
        <v>222</v>
      </c>
      <c r="L47" s="163" t="s">
        <v>188</v>
      </c>
      <c r="M47" s="165" t="s">
        <v>189</v>
      </c>
      <c r="O47"/>
      <c r="P47"/>
      <c r="Q47"/>
    </row>
    <row r="48" spans="1:17" ht="12.75">
      <c r="A48" s="159" t="s">
        <v>223</v>
      </c>
      <c r="B48" s="160"/>
      <c r="C48" s="161"/>
      <c r="D48" s="161"/>
      <c r="E48" s="161"/>
      <c r="F48" s="163" t="s">
        <v>7</v>
      </c>
      <c r="G48" s="163" t="s">
        <v>21</v>
      </c>
      <c r="H48" s="163" t="s">
        <v>162</v>
      </c>
      <c r="I48" s="163" t="s">
        <v>191</v>
      </c>
      <c r="J48" s="163" t="s">
        <v>5</v>
      </c>
      <c r="K48" s="163" t="s">
        <v>5</v>
      </c>
      <c r="L48" s="163" t="s">
        <v>191</v>
      </c>
      <c r="M48" s="165" t="s">
        <v>7</v>
      </c>
      <c r="O48"/>
      <c r="P48"/>
      <c r="Q48"/>
    </row>
    <row r="49" spans="1:17" ht="13.5" thickBot="1">
      <c r="A49" s="203"/>
      <c r="B49" s="204"/>
      <c r="C49" s="204"/>
      <c r="D49" s="204"/>
      <c r="E49" s="204"/>
      <c r="F49" s="198">
        <f>G$20</f>
        <v>6</v>
      </c>
      <c r="G49" s="198">
        <f>F$20</f>
        <v>8</v>
      </c>
      <c r="H49" s="225">
        <f>F49/M49</f>
        <v>2.0131205599421285</v>
      </c>
      <c r="I49" s="198">
        <f>G49^2*PI()/4</f>
        <v>50.26548245743669</v>
      </c>
      <c r="J49" s="197">
        <f>I49*E20</f>
        <v>2111.150263212341</v>
      </c>
      <c r="K49" s="197">
        <f>J49*$F49</f>
        <v>12666.901579274047</v>
      </c>
      <c r="L49" s="198">
        <f>K49/$B$8</f>
        <v>14.902237152087114</v>
      </c>
      <c r="M49" s="226">
        <f>K49/M$8</f>
        <v>2.980447430417423</v>
      </c>
      <c r="O49"/>
      <c r="P49"/>
      <c r="Q49"/>
    </row>
    <row r="50" spans="1:17" ht="12.75">
      <c r="A50" s="191" t="s">
        <v>224</v>
      </c>
      <c r="B50" s="153"/>
      <c r="C50" s="154"/>
      <c r="D50" s="154"/>
      <c r="E50" s="154"/>
      <c r="F50" s="156" t="s">
        <v>206</v>
      </c>
      <c r="G50" s="156" t="s">
        <v>225</v>
      </c>
      <c r="H50" s="156" t="s">
        <v>226</v>
      </c>
      <c r="I50" s="156" t="s">
        <v>209</v>
      </c>
      <c r="J50" s="156" t="s">
        <v>210</v>
      </c>
      <c r="K50" s="156" t="s">
        <v>211</v>
      </c>
      <c r="L50" s="156" t="s">
        <v>188</v>
      </c>
      <c r="M50" s="158" t="s">
        <v>189</v>
      </c>
      <c r="O50"/>
      <c r="P50"/>
      <c r="Q50"/>
    </row>
    <row r="51" spans="1:17" ht="12.75">
      <c r="A51" s="227"/>
      <c r="B51" s="160"/>
      <c r="C51" s="161"/>
      <c r="D51" s="161"/>
      <c r="E51" s="161"/>
      <c r="F51" s="163" t="s">
        <v>7</v>
      </c>
      <c r="G51" s="163" t="s">
        <v>21</v>
      </c>
      <c r="H51" s="163" t="s">
        <v>21</v>
      </c>
      <c r="I51" s="163" t="s">
        <v>191</v>
      </c>
      <c r="J51" s="163" t="s">
        <v>5</v>
      </c>
      <c r="K51" s="163" t="s">
        <v>5</v>
      </c>
      <c r="L51" s="163" t="s">
        <v>191</v>
      </c>
      <c r="M51" s="165" t="s">
        <v>7</v>
      </c>
      <c r="O51"/>
      <c r="P51"/>
      <c r="Q51"/>
    </row>
    <row r="52" spans="1:17" ht="12.75">
      <c r="A52" s="227" t="s">
        <v>227</v>
      </c>
      <c r="B52" s="21"/>
      <c r="C52" s="21"/>
      <c r="D52" s="21"/>
      <c r="E52" s="21"/>
      <c r="F52" s="206">
        <f>G$20</f>
        <v>6</v>
      </c>
      <c r="G52" s="206">
        <f>E26</f>
        <v>10</v>
      </c>
      <c r="H52" s="206">
        <f>I26+M26</f>
        <v>14</v>
      </c>
      <c r="I52" s="206">
        <f>G52*H52</f>
        <v>140</v>
      </c>
      <c r="J52" s="207">
        <f>I52*C26</f>
        <v>1400</v>
      </c>
      <c r="K52" s="207">
        <f>J52*$F52</f>
        <v>8400</v>
      </c>
      <c r="L52" s="206">
        <f>K52/$B$8</f>
        <v>9.882352941176471</v>
      </c>
      <c r="M52" s="199">
        <f>K52/M$8</f>
        <v>1.9764705882352942</v>
      </c>
      <c r="O52"/>
      <c r="P52"/>
      <c r="Q52"/>
    </row>
    <row r="53" spans="1:13" ht="12.75">
      <c r="A53" s="227" t="s">
        <v>228</v>
      </c>
      <c r="B53" s="21"/>
      <c r="C53" s="21"/>
      <c r="D53" s="21"/>
      <c r="E53" s="21"/>
      <c r="F53" s="206">
        <f>G$20</f>
        <v>6</v>
      </c>
      <c r="G53" s="206">
        <f>D26</f>
        <v>10</v>
      </c>
      <c r="H53" s="206">
        <f>I26+M26</f>
        <v>14</v>
      </c>
      <c r="I53" s="206">
        <f>G53*H53</f>
        <v>140</v>
      </c>
      <c r="J53" s="207">
        <f>D26*G26*I26+D26*K26*M26</f>
        <v>980</v>
      </c>
      <c r="K53" s="207">
        <f>J53*$F53</f>
        <v>5880</v>
      </c>
      <c r="L53" s="206">
        <f>K53/$B$8</f>
        <v>6.91764705882353</v>
      </c>
      <c r="M53" s="199">
        <f>K53/M$8</f>
        <v>1.383529411764706</v>
      </c>
    </row>
    <row r="54" spans="1:13" ht="12.75">
      <c r="A54" s="227"/>
      <c r="B54" s="21"/>
      <c r="C54" s="21"/>
      <c r="D54" s="21"/>
      <c r="E54" s="21"/>
      <c r="F54" s="163"/>
      <c r="G54" s="163"/>
      <c r="H54" s="163"/>
      <c r="I54" s="163"/>
      <c r="J54" s="163"/>
      <c r="K54" s="163"/>
      <c r="L54" s="163"/>
      <c r="M54" s="165"/>
    </row>
    <row r="55" spans="1:13" ht="12.75">
      <c r="A55" s="227"/>
      <c r="B55" s="21"/>
      <c r="C55" s="21"/>
      <c r="D55" s="21"/>
      <c r="E55" s="21"/>
      <c r="F55" s="163"/>
      <c r="G55" s="163"/>
      <c r="H55" s="163"/>
      <c r="I55" s="163"/>
      <c r="J55" s="163"/>
      <c r="K55" s="163"/>
      <c r="L55" s="163"/>
      <c r="M55" s="165"/>
    </row>
    <row r="56" spans="1:13" ht="13.5" thickBot="1">
      <c r="A56" s="228" t="s">
        <v>229</v>
      </c>
      <c r="B56" s="204"/>
      <c r="C56" s="204"/>
      <c r="D56" s="204"/>
      <c r="E56" s="204"/>
      <c r="F56" s="198"/>
      <c r="G56" s="198"/>
      <c r="H56" s="225"/>
      <c r="I56" s="198"/>
      <c r="J56" s="197"/>
      <c r="K56" s="197"/>
      <c r="L56" s="198"/>
      <c r="M56" s="226"/>
    </row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printOptions/>
  <pageMargins left="0.4724409448818898" right="0.3937007874015748" top="0.4724409448818898" bottom="0.7086614173228347" header="0.5118110236220472" footer="0.6299212598425197"/>
  <pageSetup horizontalDpi="360" verticalDpi="360" orientation="portrait" paperSize="9" r:id="rId2"/>
  <headerFooter alignWithMargins="0">
    <oddFooter>&amp;L&amp;F  &amp;A&amp;CPage &amp;P&amp;R&amp;D à &amp;T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R28" sqref="R28"/>
    </sheetView>
  </sheetViews>
  <sheetFormatPr defaultColWidth="9.83203125" defaultRowHeight="12.75"/>
  <cols>
    <col min="1" max="12" width="8.16015625" style="245" customWidth="1"/>
    <col min="13" max="16384" width="9.83203125" style="245" customWidth="1"/>
  </cols>
  <sheetData>
    <row r="1" spans="1:17" s="242" customFormat="1" ht="12.75">
      <c r="A1" s="64" t="s">
        <v>0</v>
      </c>
      <c r="B1" s="6"/>
      <c r="C1" s="8"/>
      <c r="D1" s="8"/>
      <c r="E1" s="9"/>
      <c r="F1" s="10"/>
      <c r="G1" s="10"/>
      <c r="H1" s="9"/>
      <c r="I1" s="9"/>
      <c r="J1" s="9"/>
      <c r="K1" s="9"/>
      <c r="L1" s="338"/>
      <c r="M1" s="327"/>
      <c r="N1" s="327"/>
      <c r="O1" s="327"/>
      <c r="P1" s="327"/>
      <c r="Q1" s="339"/>
    </row>
    <row r="2" spans="1:17" s="243" customFormat="1" ht="12.75">
      <c r="A2" s="64" t="s">
        <v>323</v>
      </c>
      <c r="B2" s="6"/>
      <c r="C2" s="8"/>
      <c r="D2" s="8"/>
      <c r="E2" s="9"/>
      <c r="F2" s="10"/>
      <c r="G2" s="10"/>
      <c r="H2" s="9"/>
      <c r="I2" s="9"/>
      <c r="J2" s="9"/>
      <c r="K2" s="9"/>
      <c r="L2" s="338"/>
      <c r="M2" s="6"/>
      <c r="N2" s="6"/>
      <c r="O2" s="6"/>
      <c r="P2" s="6"/>
      <c r="Q2" s="11"/>
    </row>
    <row r="3" spans="1:17" s="243" customFormat="1" ht="12.75">
      <c r="A3" s="244" t="s">
        <v>23</v>
      </c>
      <c r="B3" s="5"/>
      <c r="C3" s="13"/>
      <c r="D3" s="6"/>
      <c r="E3" s="340" t="s">
        <v>324</v>
      </c>
      <c r="F3" s="12"/>
      <c r="G3" s="5" t="s">
        <v>320</v>
      </c>
      <c r="H3" s="6"/>
      <c r="I3" s="43"/>
      <c r="J3" s="341" t="s">
        <v>325</v>
      </c>
      <c r="K3" s="11"/>
      <c r="L3" s="5" t="s">
        <v>326</v>
      </c>
      <c r="M3" s="13"/>
      <c r="N3" s="39"/>
      <c r="O3" s="329"/>
      <c r="P3" s="329"/>
      <c r="Q3" s="342"/>
    </row>
    <row r="4" spans="1:17" ht="12.75">
      <c r="A4" s="244" t="s">
        <v>327</v>
      </c>
      <c r="B4" s="5"/>
      <c r="C4" s="13"/>
      <c r="D4" s="6"/>
      <c r="E4" s="328"/>
      <c r="F4" s="343"/>
      <c r="G4" s="344" t="s">
        <v>328</v>
      </c>
      <c r="H4" s="345"/>
      <c r="I4" s="345"/>
      <c r="J4" s="346"/>
      <c r="K4" s="347"/>
      <c r="L4" s="12"/>
      <c r="M4" s="243"/>
      <c r="N4" s="243"/>
      <c r="O4" s="243"/>
      <c r="P4" s="243"/>
      <c r="Q4" s="243"/>
    </row>
    <row r="5" spans="1:16" ht="12.75">
      <c r="A5" s="348" t="s">
        <v>3</v>
      </c>
      <c r="B5" s="348" t="s">
        <v>8</v>
      </c>
      <c r="C5" s="348" t="s">
        <v>329</v>
      </c>
      <c r="D5" s="348" t="s">
        <v>330</v>
      </c>
      <c r="E5" s="348" t="s">
        <v>330</v>
      </c>
      <c r="F5" s="348"/>
      <c r="G5" s="349" t="s">
        <v>155</v>
      </c>
      <c r="H5" s="349" t="s">
        <v>230</v>
      </c>
      <c r="I5" s="349" t="s">
        <v>230</v>
      </c>
      <c r="J5" s="349"/>
      <c r="K5" s="350" t="s">
        <v>11</v>
      </c>
      <c r="L5" s="350" t="s">
        <v>197</v>
      </c>
      <c r="M5" s="350" t="s">
        <v>231</v>
      </c>
      <c r="N5" s="350" t="s">
        <v>16</v>
      </c>
      <c r="O5" s="350" t="s">
        <v>232</v>
      </c>
      <c r="P5" s="350" t="s">
        <v>331</v>
      </c>
    </row>
    <row r="6" spans="1:16" ht="12.75">
      <c r="A6" s="351"/>
      <c r="B6" s="351"/>
      <c r="C6" s="351"/>
      <c r="D6" s="352" t="s">
        <v>332</v>
      </c>
      <c r="E6" s="352" t="s">
        <v>43</v>
      </c>
      <c r="F6" s="352"/>
      <c r="G6" s="353"/>
      <c r="H6" s="354" t="s">
        <v>233</v>
      </c>
      <c r="I6" s="354" t="s">
        <v>333</v>
      </c>
      <c r="J6" s="354"/>
      <c r="K6" s="355"/>
      <c r="L6" s="326"/>
      <c r="M6" s="326"/>
      <c r="N6" s="326"/>
      <c r="O6" s="326"/>
      <c r="P6" s="326"/>
    </row>
    <row r="7" spans="1:16" ht="12.75">
      <c r="A7" s="356"/>
      <c r="B7" s="356"/>
      <c r="C7" s="356"/>
      <c r="D7" s="357" t="s">
        <v>9</v>
      </c>
      <c r="E7" s="357" t="s">
        <v>10</v>
      </c>
      <c r="F7" s="357"/>
      <c r="G7" s="358"/>
      <c r="H7" s="358"/>
      <c r="I7" s="359" t="s">
        <v>334</v>
      </c>
      <c r="J7" s="357"/>
      <c r="K7" s="360"/>
      <c r="L7" s="361"/>
      <c r="M7" s="361" t="s">
        <v>234</v>
      </c>
      <c r="N7" s="360" t="s">
        <v>235</v>
      </c>
      <c r="O7" s="361"/>
      <c r="P7" s="361" t="s">
        <v>234</v>
      </c>
    </row>
    <row r="8" spans="1:16" ht="12.75">
      <c r="A8" s="113" t="s">
        <v>236</v>
      </c>
      <c r="B8" s="113" t="s">
        <v>236</v>
      </c>
      <c r="C8" s="113" t="s">
        <v>6</v>
      </c>
      <c r="D8" s="113" t="s">
        <v>14</v>
      </c>
      <c r="E8" s="113" t="s">
        <v>14</v>
      </c>
      <c r="F8" s="113"/>
      <c r="G8" s="113" t="s">
        <v>237</v>
      </c>
      <c r="H8" s="113" t="s">
        <v>237</v>
      </c>
      <c r="I8" s="113" t="s">
        <v>237</v>
      </c>
      <c r="J8" s="113"/>
      <c r="K8" s="163" t="s">
        <v>6</v>
      </c>
      <c r="L8" s="163" t="s">
        <v>238</v>
      </c>
      <c r="M8" s="163" t="s">
        <v>239</v>
      </c>
      <c r="N8" s="163" t="s">
        <v>240</v>
      </c>
      <c r="O8" s="163" t="s">
        <v>239</v>
      </c>
      <c r="P8" s="163" t="s">
        <v>239</v>
      </c>
    </row>
    <row r="9" spans="1:17" s="253" customFormat="1" ht="12.75">
      <c r="A9" s="248">
        <v>9.2</v>
      </c>
      <c r="B9" s="248">
        <v>8.3</v>
      </c>
      <c r="C9" s="248">
        <v>2.55</v>
      </c>
      <c r="D9" s="362">
        <v>2.3</v>
      </c>
      <c r="E9" s="437">
        <f>D9*1.2</f>
        <v>2.76</v>
      </c>
      <c r="F9" s="249"/>
      <c r="G9" s="113">
        <v>1200</v>
      </c>
      <c r="H9" s="113">
        <v>460</v>
      </c>
      <c r="I9" s="113">
        <v>300</v>
      </c>
      <c r="J9" s="249"/>
      <c r="K9" s="293">
        <f>(A9+B9)/2</f>
        <v>8.75</v>
      </c>
      <c r="L9" s="115">
        <f>F24</f>
        <v>0.45095999999999997</v>
      </c>
      <c r="M9" s="145">
        <f>L9/B9^2*100</f>
        <v>0.6546087966323122</v>
      </c>
      <c r="N9" s="250">
        <f>G9^2/L9/1000000</f>
        <v>3.19318786588611</v>
      </c>
      <c r="O9" s="115">
        <f>I9/H9</f>
        <v>0.6521739130434783</v>
      </c>
      <c r="P9" s="250">
        <f>I19/H19*100</f>
        <v>17.828632251197448</v>
      </c>
      <c r="Q9" s="245"/>
    </row>
    <row r="10" spans="1:17" s="253" customFormat="1" ht="12.75">
      <c r="A10" s="113" t="s">
        <v>29</v>
      </c>
      <c r="B10" s="113" t="s">
        <v>241</v>
      </c>
      <c r="C10" s="113" t="s">
        <v>242</v>
      </c>
      <c r="D10" s="113" t="s">
        <v>243</v>
      </c>
      <c r="E10" s="113" t="s">
        <v>244</v>
      </c>
      <c r="F10" s="113" t="s">
        <v>245</v>
      </c>
      <c r="G10" s="252" t="s">
        <v>246</v>
      </c>
      <c r="H10" s="252" t="s">
        <v>247</v>
      </c>
      <c r="I10" s="252" t="s">
        <v>247</v>
      </c>
      <c r="J10" s="252" t="s">
        <v>335</v>
      </c>
      <c r="K10" s="252"/>
      <c r="L10" s="252" t="s">
        <v>336</v>
      </c>
      <c r="M10" s="252"/>
      <c r="N10" s="2"/>
      <c r="O10" s="18"/>
      <c r="P10" s="18"/>
      <c r="Q10" s="363"/>
    </row>
    <row r="11" spans="1:17" s="253" customFormat="1" ht="12.75">
      <c r="A11" s="113" t="s">
        <v>185</v>
      </c>
      <c r="B11" s="113" t="s">
        <v>248</v>
      </c>
      <c r="C11" s="113" t="s">
        <v>249</v>
      </c>
      <c r="D11" s="113" t="s">
        <v>250</v>
      </c>
      <c r="E11" s="113" t="s">
        <v>251</v>
      </c>
      <c r="F11" s="113" t="s">
        <v>252</v>
      </c>
      <c r="G11" s="252" t="s">
        <v>253</v>
      </c>
      <c r="H11" s="18" t="s">
        <v>254</v>
      </c>
      <c r="I11" s="18" t="s">
        <v>255</v>
      </c>
      <c r="J11" s="18" t="s">
        <v>337</v>
      </c>
      <c r="K11" s="18" t="s">
        <v>358</v>
      </c>
      <c r="L11" s="18" t="s">
        <v>338</v>
      </c>
      <c r="M11" s="18" t="s">
        <v>359</v>
      </c>
      <c r="N11" s="323" t="s">
        <v>360</v>
      </c>
      <c r="O11" s="401" t="s">
        <v>361</v>
      </c>
      <c r="P11" s="401" t="s">
        <v>362</v>
      </c>
      <c r="Q11" s="364"/>
    </row>
    <row r="12" spans="1:18" ht="15.75">
      <c r="A12" s="246"/>
      <c r="B12" s="113" t="s">
        <v>256</v>
      </c>
      <c r="C12" s="113" t="s">
        <v>256</v>
      </c>
      <c r="D12" s="113" t="s">
        <v>256</v>
      </c>
      <c r="E12" s="113" t="s">
        <v>257</v>
      </c>
      <c r="F12" s="113" t="s">
        <v>256</v>
      </c>
      <c r="G12" s="252" t="s">
        <v>256</v>
      </c>
      <c r="H12" s="252" t="s">
        <v>278</v>
      </c>
      <c r="I12" s="252" t="s">
        <v>278</v>
      </c>
      <c r="J12" s="252" t="s">
        <v>6</v>
      </c>
      <c r="K12" s="252" t="s">
        <v>339</v>
      </c>
      <c r="L12" s="252" t="s">
        <v>6</v>
      </c>
      <c r="M12" s="252" t="s">
        <v>339</v>
      </c>
      <c r="N12" s="252" t="s">
        <v>339</v>
      </c>
      <c r="O12" s="252" t="s">
        <v>363</v>
      </c>
      <c r="P12" s="252" t="s">
        <v>364</v>
      </c>
      <c r="Q12" s="363"/>
      <c r="R12" s="253"/>
    </row>
    <row r="13" spans="1:17" ht="12.75">
      <c r="A13" s="113" t="s">
        <v>1</v>
      </c>
      <c r="B13" s="254">
        <v>0</v>
      </c>
      <c r="C13" s="254">
        <v>460</v>
      </c>
      <c r="D13" s="255">
        <v>0.6</v>
      </c>
      <c r="E13" s="255">
        <v>13.5</v>
      </c>
      <c r="F13" s="256">
        <v>98</v>
      </c>
      <c r="G13" s="257">
        <f aca="true" t="shared" si="0" ref="G13:G18">C13-F13</f>
        <v>362</v>
      </c>
      <c r="H13" s="258">
        <f>(B14-B13)*(C13+C14)/2000000</f>
        <v>0.10968</v>
      </c>
      <c r="I13" s="258">
        <f>(B14-B13)*(F13+F14)/2000000</f>
        <v>0.02292</v>
      </c>
      <c r="J13" s="259">
        <f>((B14-B13)/3*(C13+2*C14)/(C13+C14)+B13)/1000</f>
        <v>0.11973741794310722</v>
      </c>
      <c r="K13" s="259">
        <f>H13*J13</f>
        <v>0.0131328</v>
      </c>
      <c r="L13" s="259">
        <f>(F13-C13/2-(F13-C13/2-F14+C14/2)*((C13+2*C14)/(C13+C14)/3))/1000</f>
        <v>-0.13299781181619255</v>
      </c>
      <c r="M13" s="259">
        <f>H13*L13</f>
        <v>-0.0145872</v>
      </c>
      <c r="N13" s="402">
        <f>(J13-B13/1000)*H13+(J14-B13/1000)*H14+(J15-B13/1000)*H15+(J16-B13/1000)*H16+(J17-B13/1000)*H17</f>
        <v>0.23900159999999998</v>
      </c>
      <c r="O13" s="403">
        <f>N13/K19</f>
        <v>1</v>
      </c>
      <c r="P13" s="105">
        <f>(1-B13/B18)^2</f>
        <v>1</v>
      </c>
      <c r="Q13" s="365"/>
    </row>
    <row r="14" spans="1:17" ht="12.75">
      <c r="A14" s="113" t="s">
        <v>258</v>
      </c>
      <c r="B14" s="254">
        <f>B13+240</f>
        <v>240</v>
      </c>
      <c r="C14" s="254">
        <v>454</v>
      </c>
      <c r="D14" s="255">
        <v>0.6</v>
      </c>
      <c r="E14" s="255">
        <v>13.5</v>
      </c>
      <c r="F14" s="256">
        <v>93</v>
      </c>
      <c r="G14" s="257">
        <f t="shared" si="0"/>
        <v>361</v>
      </c>
      <c r="H14" s="258">
        <f>(B15-B14)*(C14+C15)/2000000</f>
        <v>0.1056</v>
      </c>
      <c r="I14" s="258">
        <f>(B15-B14)*(F14+F15)/2000000</f>
        <v>0.02112</v>
      </c>
      <c r="J14" s="259">
        <f>((B15-B14)/3*(C14+2*C15)/(C14+C15)+B14)/1000</f>
        <v>0.35872727272727273</v>
      </c>
      <c r="K14" s="259">
        <f>H14*J14</f>
        <v>0.0378816</v>
      </c>
      <c r="L14" s="259">
        <f>(F14-C14/2-(F14-C14/2-F15+C15/2)*((C14+2*C15)/(C14+C15)/3))/1000</f>
        <v>-0.13202121212121212</v>
      </c>
      <c r="M14" s="259">
        <f>H14*L14</f>
        <v>-0.01394144</v>
      </c>
      <c r="N14" s="105">
        <f>(J14-B14/1000)*H14+(J15-B14/1000)*H15+(J16-B14/1000)*H16+(J17-B14/1000)*H17</f>
        <v>0.14396160000000002</v>
      </c>
      <c r="O14" s="403">
        <f>N14/K19</f>
        <v>0.6023457583547559</v>
      </c>
      <c r="P14" s="105">
        <f>(1-B14/B18)^2</f>
        <v>0.6400000000000001</v>
      </c>
      <c r="Q14" s="366"/>
    </row>
    <row r="15" spans="1:17" ht="12.75">
      <c r="A15" s="113" t="s">
        <v>259</v>
      </c>
      <c r="B15" s="254">
        <f>B14+240</f>
        <v>480</v>
      </c>
      <c r="C15" s="254">
        <v>426</v>
      </c>
      <c r="D15" s="255">
        <v>0.6</v>
      </c>
      <c r="E15" s="255">
        <v>13.5</v>
      </c>
      <c r="F15" s="256">
        <v>83</v>
      </c>
      <c r="G15" s="257">
        <f t="shared" si="0"/>
        <v>343</v>
      </c>
      <c r="H15" s="258">
        <f>(B16-B15)*(C15+C16)/2000000</f>
        <v>0.096</v>
      </c>
      <c r="I15" s="258">
        <f>(B16-B15)*(F15+F16)/2000000</f>
        <v>0.01764</v>
      </c>
      <c r="J15" s="259">
        <f>((B16-B15)/3*(C15+2*C16)/(C15+C16)+B15)/1000</f>
        <v>0.5973999999999999</v>
      </c>
      <c r="K15" s="259">
        <f>H15*J15</f>
        <v>0.057350399999999996</v>
      </c>
      <c r="L15" s="259">
        <f>(F15-C15/2-(F15-C15/2-F16+C16/2)*((C15+2*C16)/(C15+C16)/3))/1000</f>
        <v>-0.12657583333333333</v>
      </c>
      <c r="M15" s="259">
        <f>H15*L15</f>
        <v>-0.01215128</v>
      </c>
      <c r="N15" s="105">
        <f>(J15-B15/1000)*H15+(J16-B15/1000)*H16+(J17-B15/1000)*H17</f>
        <v>0.0748608</v>
      </c>
      <c r="O15" s="403">
        <f>N15/K19</f>
        <v>0.31322300771208234</v>
      </c>
      <c r="P15" s="105">
        <f>(1-B15/B18)^2</f>
        <v>0.36</v>
      </c>
      <c r="Q15" s="366"/>
    </row>
    <row r="16" spans="1:17" ht="12.75">
      <c r="A16" s="113" t="s">
        <v>4</v>
      </c>
      <c r="B16" s="254">
        <f>B15+240</f>
        <v>720</v>
      </c>
      <c r="C16" s="254">
        <v>374</v>
      </c>
      <c r="D16" s="255">
        <v>0.6</v>
      </c>
      <c r="E16" s="255">
        <v>13.5</v>
      </c>
      <c r="F16" s="256">
        <v>64</v>
      </c>
      <c r="G16" s="257">
        <f t="shared" si="0"/>
        <v>310</v>
      </c>
      <c r="H16" s="258">
        <f>(B17-B16)*(C16+C17)/2000000</f>
        <v>0.08064</v>
      </c>
      <c r="I16" s="258">
        <f>(B17-B16)*(F16+F17)/2000000</f>
        <v>0.01248</v>
      </c>
      <c r="J16" s="259">
        <f>((B17-B16)/3*(C16+2*C17)/(C16+C17)+B16)/1000</f>
        <v>0.8354761904761905</v>
      </c>
      <c r="K16" s="259">
        <f>H16*J16</f>
        <v>0.0673728</v>
      </c>
      <c r="L16" s="259">
        <f>(F16-C16/2-(F16-C16/2-F17+C17/2)*((C16+2*C17)/(C16+C17)/3))/1000</f>
        <v>-0.11626388888888889</v>
      </c>
      <c r="M16" s="259">
        <f>H16*L16</f>
        <v>-0.00937552</v>
      </c>
      <c r="N16" s="105">
        <f>(J16-B16/1000)*H16+(J17-B16/1000)*H17</f>
        <v>0.030067200000000002</v>
      </c>
      <c r="O16" s="403">
        <f>N16/K19</f>
        <v>0.12580334190231365</v>
      </c>
      <c r="P16" s="105">
        <f>(1-B16/B18)^2</f>
        <v>0.16000000000000003</v>
      </c>
      <c r="Q16" s="366"/>
    </row>
    <row r="17" spans="1:17" ht="12.75">
      <c r="A17" s="113" t="s">
        <v>36</v>
      </c>
      <c r="B17" s="254">
        <f>B16+240</f>
        <v>960</v>
      </c>
      <c r="C17" s="254">
        <v>298</v>
      </c>
      <c r="D17" s="255">
        <v>0.6</v>
      </c>
      <c r="E17" s="255">
        <v>13.5</v>
      </c>
      <c r="F17" s="256">
        <v>40</v>
      </c>
      <c r="G17" s="257">
        <f t="shared" si="0"/>
        <v>258</v>
      </c>
      <c r="H17" s="258">
        <f>(B18-B17)*(C17+C18)/2000000</f>
        <v>0.05904</v>
      </c>
      <c r="I17" s="258">
        <f>(B18-B17)*(F17+F18)/2000000</f>
        <v>0.00624</v>
      </c>
      <c r="J17" s="259">
        <f>((B18-B17)/3*(C17+2*C18)/(C17+C18)+B17)/1000</f>
        <v>1.0715447154471545</v>
      </c>
      <c r="K17" s="259">
        <f>H17*J17</f>
        <v>0.063264</v>
      </c>
      <c r="L17" s="259">
        <f>(F17-C17/2-(F17-C17/2-F18+C18/2)*((C17+2*C18)/(C17+C18)/3))/1000</f>
        <v>-0.09784552845528455</v>
      </c>
      <c r="M17" s="259">
        <f>H17*L17</f>
        <v>-0.0057767999999999995</v>
      </c>
      <c r="N17" s="105">
        <f>(J17-B17/1000)*H17</f>
        <v>0.006585600000000001</v>
      </c>
      <c r="O17" s="403">
        <f>N17/K19</f>
        <v>0.027554627249357335</v>
      </c>
      <c r="P17" s="105">
        <f>(1-B17/B18)^2</f>
        <v>0.03999999999999998</v>
      </c>
      <c r="Q17" s="366"/>
    </row>
    <row r="18" spans="1:17" ht="12.75">
      <c r="A18" s="113" t="s">
        <v>22</v>
      </c>
      <c r="B18" s="254">
        <f>B17+240</f>
        <v>1200</v>
      </c>
      <c r="C18" s="254">
        <v>194</v>
      </c>
      <c r="D18" s="255">
        <v>0.6</v>
      </c>
      <c r="E18" s="255">
        <v>13.5</v>
      </c>
      <c r="F18" s="256">
        <v>12</v>
      </c>
      <c r="G18" s="257">
        <f t="shared" si="0"/>
        <v>182</v>
      </c>
      <c r="H18" s="404" t="s">
        <v>7</v>
      </c>
      <c r="I18" s="404" t="s">
        <v>7</v>
      </c>
      <c r="J18" s="404" t="s">
        <v>7</v>
      </c>
      <c r="K18" s="404" t="s">
        <v>7</v>
      </c>
      <c r="L18" s="404" t="s">
        <v>7</v>
      </c>
      <c r="M18" s="404" t="s">
        <v>7</v>
      </c>
      <c r="N18" s="404" t="s">
        <v>7</v>
      </c>
      <c r="O18" s="404" t="s">
        <v>7</v>
      </c>
      <c r="P18" s="404" t="s">
        <v>7</v>
      </c>
      <c r="Q18" s="366"/>
    </row>
    <row r="19" spans="1:17" ht="12.75">
      <c r="A19" s="260" t="s">
        <v>260</v>
      </c>
      <c r="B19" s="261"/>
      <c r="C19" s="261"/>
      <c r="D19" s="262"/>
      <c r="E19" s="263"/>
      <c r="F19" s="261"/>
      <c r="G19" s="264"/>
      <c r="H19" s="266">
        <f>SUM(H13:H17)</f>
        <v>0.45095999999999997</v>
      </c>
      <c r="I19" s="267">
        <f>SUM(I13:I17)</f>
        <v>0.0804</v>
      </c>
      <c r="J19" s="266">
        <f>K19/H19</f>
        <v>0.5299840340606705</v>
      </c>
      <c r="K19" s="268">
        <f>SUM(K13:K17)</f>
        <v>0.23900159999999998</v>
      </c>
      <c r="L19" s="405">
        <f>M19/H19</f>
        <v>-0.12380752173141743</v>
      </c>
      <c r="M19" s="406">
        <f>SUM(M13:M17)</f>
        <v>-0.05583224</v>
      </c>
      <c r="N19" s="42"/>
      <c r="O19" s="42"/>
      <c r="P19" s="42"/>
      <c r="Q19" s="330"/>
    </row>
    <row r="20" spans="1:15" ht="12.75">
      <c r="A20" s="272" t="s">
        <v>261</v>
      </c>
      <c r="B20" s="269"/>
      <c r="C20" s="269"/>
      <c r="D20" s="270"/>
      <c r="E20" s="118"/>
      <c r="F20" s="279" t="s">
        <v>262</v>
      </c>
      <c r="G20" s="407"/>
      <c r="H20" s="408"/>
      <c r="I20" s="409"/>
      <c r="J20" s="409"/>
      <c r="K20" s="409"/>
      <c r="L20" s="410"/>
      <c r="M20" s="84"/>
      <c r="N20" s="43"/>
      <c r="O20"/>
    </row>
    <row r="21" spans="1:16" ht="12.75">
      <c r="A21" s="274" t="s">
        <v>263</v>
      </c>
      <c r="B21" s="275" t="s">
        <v>19</v>
      </c>
      <c r="C21" s="275" t="s">
        <v>264</v>
      </c>
      <c r="D21" s="275" t="s">
        <v>265</v>
      </c>
      <c r="E21" s="275" t="s">
        <v>266</v>
      </c>
      <c r="F21" s="252" t="s">
        <v>267</v>
      </c>
      <c r="G21" s="252" t="s">
        <v>268</v>
      </c>
      <c r="H21" s="252" t="s">
        <v>269</v>
      </c>
      <c r="I21" s="252" t="s">
        <v>270</v>
      </c>
      <c r="J21" s="252" t="s">
        <v>271</v>
      </c>
      <c r="K21" s="276" t="s">
        <v>104</v>
      </c>
      <c r="L21" s="252" t="s">
        <v>272</v>
      </c>
      <c r="M21" s="294" t="s">
        <v>293</v>
      </c>
      <c r="N21" s="294"/>
      <c r="O21"/>
      <c r="P21"/>
    </row>
    <row r="22" spans="1:16" ht="15.75">
      <c r="A22" s="277" t="s">
        <v>273</v>
      </c>
      <c r="B22" s="275" t="s">
        <v>274</v>
      </c>
      <c r="C22" s="275" t="s">
        <v>275</v>
      </c>
      <c r="D22" s="275" t="s">
        <v>17</v>
      </c>
      <c r="E22" s="275" t="s">
        <v>276</v>
      </c>
      <c r="F22" s="252"/>
      <c r="G22" s="252"/>
      <c r="H22" s="252"/>
      <c r="I22" s="252"/>
      <c r="J22" s="252" t="s">
        <v>277</v>
      </c>
      <c r="K22" s="252"/>
      <c r="L22" s="252"/>
      <c r="M22" s="286" t="s">
        <v>288</v>
      </c>
      <c r="N22" s="286" t="s">
        <v>289</v>
      </c>
      <c r="O22" s="367" t="s">
        <v>17</v>
      </c>
      <c r="P22" s="367" t="s">
        <v>340</v>
      </c>
    </row>
    <row r="23" spans="1:16" ht="12.75">
      <c r="A23" s="275" t="s">
        <v>6</v>
      </c>
      <c r="B23" s="275" t="s">
        <v>6</v>
      </c>
      <c r="C23" s="275" t="s">
        <v>6</v>
      </c>
      <c r="D23" s="275" t="s">
        <v>6</v>
      </c>
      <c r="E23" s="275" t="s">
        <v>6</v>
      </c>
      <c r="F23" s="252" t="s">
        <v>278</v>
      </c>
      <c r="G23" s="252" t="s">
        <v>6</v>
      </c>
      <c r="H23" s="252" t="s">
        <v>6</v>
      </c>
      <c r="I23" s="252" t="s">
        <v>6</v>
      </c>
      <c r="J23" s="252" t="s">
        <v>7</v>
      </c>
      <c r="K23" s="252" t="s">
        <v>7</v>
      </c>
      <c r="L23" s="252" t="s">
        <v>279</v>
      </c>
      <c r="M23" s="286" t="s">
        <v>104</v>
      </c>
      <c r="N23" s="286" t="s">
        <v>104</v>
      </c>
      <c r="O23" s="411" t="s">
        <v>6</v>
      </c>
      <c r="P23" s="411" t="s">
        <v>6</v>
      </c>
    </row>
    <row r="24" spans="1:16" ht="12.75">
      <c r="A24" s="278">
        <v>0.03</v>
      </c>
      <c r="B24" s="368">
        <f>B18/1000</f>
        <v>1.2</v>
      </c>
      <c r="C24" s="278">
        <v>0.82</v>
      </c>
      <c r="D24" s="368">
        <f>O24</f>
        <v>0.4151701259535214</v>
      </c>
      <c r="E24" s="368">
        <f>P24</f>
        <v>0.07904293063686359</v>
      </c>
      <c r="F24" s="369">
        <f>H19</f>
        <v>0.45095999999999997</v>
      </c>
      <c r="G24" s="369">
        <f>J19</f>
        <v>0.5299840340606705</v>
      </c>
      <c r="H24" s="369">
        <f>MAX(0.33*D24-E24,0.25*D24)</f>
        <v>0.10379253148838034</v>
      </c>
      <c r="I24" s="369">
        <f>B24+A24</f>
        <v>1.23</v>
      </c>
      <c r="J24" s="369">
        <f>K9/(E9/1.026)^0.333</f>
        <v>6.293574823473572</v>
      </c>
      <c r="K24" s="369">
        <f>MAX((J24/6.75)^2,1)</f>
        <v>1</v>
      </c>
      <c r="L24" s="331">
        <f>1.15*K9^0.5/0.514*(K24)^0.5</f>
        <v>6.618182636735951</v>
      </c>
      <c r="M24" s="296">
        <f>N24+I29</f>
        <v>5186.296218292682</v>
      </c>
      <c r="N24" s="296">
        <f>J29/C24</f>
        <v>2104.548318292683</v>
      </c>
      <c r="O24" s="268">
        <f>(C15+(J19*1000-B15)/(B16-B15)*(C16-C15))/1000</f>
        <v>0.4151701259535214</v>
      </c>
      <c r="P24" s="268">
        <f>(F15+(J19*1000-B15)/(B16-B15)*(F16-F15))/1000</f>
        <v>0.07904293063686359</v>
      </c>
    </row>
    <row r="25" spans="1:12" ht="12.75">
      <c r="A25" s="279" t="s">
        <v>280</v>
      </c>
      <c r="B25" s="10"/>
      <c r="C25" s="10"/>
      <c r="D25" s="10"/>
      <c r="E25" s="71"/>
      <c r="F25" s="280"/>
      <c r="G25" s="271"/>
      <c r="H25" s="271"/>
      <c r="I25" s="271"/>
      <c r="J25" s="271"/>
      <c r="K25" s="281"/>
      <c r="L25" s="271"/>
    </row>
    <row r="26" spans="1:16" ht="12.75">
      <c r="A26" s="282" t="s">
        <v>281</v>
      </c>
      <c r="B26" s="269"/>
      <c r="C26" s="269"/>
      <c r="D26" s="270"/>
      <c r="E26" s="163"/>
      <c r="F26" s="163"/>
      <c r="G26" s="163"/>
      <c r="H26" s="163"/>
      <c r="I26" s="273" t="s">
        <v>262</v>
      </c>
      <c r="J26" s="271"/>
      <c r="K26" s="271"/>
      <c r="L26" s="271"/>
      <c r="M26" s="281" t="s">
        <v>341</v>
      </c>
      <c r="N26" s="271"/>
      <c r="O26" s="294" t="s">
        <v>292</v>
      </c>
      <c r="P26" s="294"/>
    </row>
    <row r="27" spans="1:16" ht="12.75">
      <c r="A27" s="113" t="s">
        <v>282</v>
      </c>
      <c r="B27" s="113" t="s">
        <v>283</v>
      </c>
      <c r="C27" s="283" t="s">
        <v>284</v>
      </c>
      <c r="D27" s="283" t="s">
        <v>285</v>
      </c>
      <c r="E27" s="275" t="s">
        <v>294</v>
      </c>
      <c r="F27" s="275" t="s">
        <v>295</v>
      </c>
      <c r="G27" s="275" t="s">
        <v>296</v>
      </c>
      <c r="H27" s="275" t="s">
        <v>297</v>
      </c>
      <c r="I27" s="284" t="s">
        <v>22</v>
      </c>
      <c r="J27" s="285" t="s">
        <v>80</v>
      </c>
      <c r="K27" s="285" t="s">
        <v>286</v>
      </c>
      <c r="L27" s="287" t="s">
        <v>287</v>
      </c>
      <c r="M27" s="286" t="s">
        <v>288</v>
      </c>
      <c r="N27" s="288" t="s">
        <v>289</v>
      </c>
      <c r="O27" s="286" t="s">
        <v>288</v>
      </c>
      <c r="P27" s="286" t="s">
        <v>289</v>
      </c>
    </row>
    <row r="28" spans="1:16" ht="12.75">
      <c r="A28" s="113" t="s">
        <v>290</v>
      </c>
      <c r="B28" s="113" t="s">
        <v>7</v>
      </c>
      <c r="C28" s="113" t="s">
        <v>26</v>
      </c>
      <c r="D28" s="113" t="s">
        <v>26</v>
      </c>
      <c r="E28" s="275" t="s">
        <v>21</v>
      </c>
      <c r="F28" s="275" t="s">
        <v>21</v>
      </c>
      <c r="G28" s="275" t="s">
        <v>21</v>
      </c>
      <c r="H28" s="275" t="s">
        <v>24</v>
      </c>
      <c r="I28" s="284" t="s">
        <v>104</v>
      </c>
      <c r="J28" s="285" t="s">
        <v>291</v>
      </c>
      <c r="K28" s="285" t="s">
        <v>291</v>
      </c>
      <c r="L28" s="286" t="s">
        <v>26</v>
      </c>
      <c r="M28" s="286" t="s">
        <v>21</v>
      </c>
      <c r="N28" s="286" t="s">
        <v>21</v>
      </c>
      <c r="O28" s="286" t="s">
        <v>7</v>
      </c>
      <c r="P28" s="286" t="s">
        <v>7</v>
      </c>
    </row>
    <row r="29" spans="1:16" ht="12.75">
      <c r="A29" s="289" t="s">
        <v>342</v>
      </c>
      <c r="B29" s="113">
        <v>1</v>
      </c>
      <c r="C29" s="290">
        <v>750</v>
      </c>
      <c r="D29" s="290">
        <v>900</v>
      </c>
      <c r="E29" s="295">
        <v>30</v>
      </c>
      <c r="F29" s="295">
        <v>35</v>
      </c>
      <c r="G29" s="295">
        <v>35</v>
      </c>
      <c r="H29" s="275"/>
      <c r="I29" s="291">
        <f>781*K24*F24*K9</f>
        <v>3081.7479</v>
      </c>
      <c r="J29" s="292">
        <f>I29*(I24-B24+G24)</f>
        <v>1725.7296209999997</v>
      </c>
      <c r="K29" s="292">
        <f>I29*H24</f>
        <v>319.86241594999996</v>
      </c>
      <c r="L29" s="265">
        <f>IF(B29=1,MIN(C29/1.71,D29/3),IF(B29=2,MIN(C29/2.3,D29/4),"NA"))</f>
        <v>300</v>
      </c>
      <c r="M29" s="251">
        <f>10*(32/(PI()*L29)*(0.5*J29+0.5*SQRT(J29^2+4*K29^2)))^0.333</f>
        <v>39.21252598705686</v>
      </c>
      <c r="N29" s="251">
        <f>10*(32/(PI()*L29)*K29)^0.333</f>
        <v>22.12765580308291</v>
      </c>
      <c r="O29" s="114">
        <f>J36/M29</f>
        <v>0.9690780954163197</v>
      </c>
      <c r="P29" s="114">
        <f>E29/N29</f>
        <v>1.3557694618433231</v>
      </c>
    </row>
    <row r="30" spans="1:18" ht="12.75">
      <c r="A30" s="297" t="s">
        <v>298</v>
      </c>
      <c r="B30" s="298"/>
      <c r="C30" s="299"/>
      <c r="D30" s="163" t="s">
        <v>299</v>
      </c>
      <c r="E30" s="300" t="s">
        <v>300</v>
      </c>
      <c r="F30" s="300" t="s">
        <v>300</v>
      </c>
      <c r="G30" s="163" t="s">
        <v>300</v>
      </c>
      <c r="H30" s="163" t="s">
        <v>301</v>
      </c>
      <c r="I30" s="163" t="s">
        <v>302</v>
      </c>
      <c r="J30" s="163" t="s">
        <v>303</v>
      </c>
      <c r="K30" s="163" t="s">
        <v>304</v>
      </c>
      <c r="L30" s="163" t="s">
        <v>305</v>
      </c>
      <c r="M30" s="163" t="s">
        <v>343</v>
      </c>
      <c r="N30" s="125" t="s">
        <v>366</v>
      </c>
      <c r="O30" s="301"/>
      <c r="P30" s="301"/>
      <c r="Q30" s="301"/>
      <c r="R30" s="301"/>
    </row>
    <row r="31" spans="1:18" s="253" customFormat="1" ht="12.75">
      <c r="A31" s="302" t="s">
        <v>306</v>
      </c>
      <c r="B31" s="303"/>
      <c r="C31" s="304"/>
      <c r="D31" s="163" t="s">
        <v>307</v>
      </c>
      <c r="E31" s="300" t="s">
        <v>308</v>
      </c>
      <c r="F31" s="300" t="s">
        <v>309</v>
      </c>
      <c r="G31" s="300" t="s">
        <v>310</v>
      </c>
      <c r="H31" s="163" t="s">
        <v>311</v>
      </c>
      <c r="I31" s="163" t="s">
        <v>311</v>
      </c>
      <c r="J31" s="163" t="s">
        <v>312</v>
      </c>
      <c r="K31" s="163" t="s">
        <v>312</v>
      </c>
      <c r="L31" s="247"/>
      <c r="M31" s="247"/>
      <c r="N31" s="301"/>
      <c r="O31" s="301"/>
      <c r="P31" s="301"/>
      <c r="Q31" s="301"/>
      <c r="R31" s="301"/>
    </row>
    <row r="32" spans="1:18" ht="12.75">
      <c r="A32" s="305" t="s">
        <v>313</v>
      </c>
      <c r="B32" s="306"/>
      <c r="C32" s="307"/>
      <c r="D32" s="163" t="s">
        <v>21</v>
      </c>
      <c r="E32" s="300" t="s">
        <v>31</v>
      </c>
      <c r="F32" s="300" t="s">
        <v>31</v>
      </c>
      <c r="G32" s="300" t="s">
        <v>31</v>
      </c>
      <c r="H32" s="163" t="s">
        <v>314</v>
      </c>
      <c r="I32" s="163" t="s">
        <v>315</v>
      </c>
      <c r="J32" s="163" t="s">
        <v>315</v>
      </c>
      <c r="K32" s="163" t="s">
        <v>315</v>
      </c>
      <c r="L32" s="163" t="s">
        <v>314</v>
      </c>
      <c r="M32" s="163" t="s">
        <v>7</v>
      </c>
      <c r="N32" s="425"/>
      <c r="O32" s="301"/>
      <c r="P32" s="301"/>
      <c r="Q32" s="301"/>
      <c r="R32" s="301"/>
    </row>
    <row r="33" spans="1:18" s="301" customFormat="1" ht="12.75">
      <c r="A33" s="324" t="s">
        <v>316</v>
      </c>
      <c r="B33" s="324"/>
      <c r="C33" s="43"/>
      <c r="D33" s="308">
        <f>C24*1000</f>
        <v>820</v>
      </c>
      <c r="E33" s="309">
        <f>(D33-D33)/D33</f>
        <v>0</v>
      </c>
      <c r="F33" s="309">
        <f>F36</f>
        <v>319.86241594999996</v>
      </c>
      <c r="G33" s="310">
        <f aca="true" t="shared" si="1" ref="G33:G40">0.5*E33+0.5*SQRT(E33^2+4*F33^2)</f>
        <v>319.86241594999996</v>
      </c>
      <c r="H33" s="311">
        <f>G33/L29</f>
        <v>1.0662080531666664</v>
      </c>
      <c r="I33" s="311">
        <f aca="true" t="shared" si="2" ref="I33:I40">10*(32*H33/PI())^0.333</f>
        <v>22.12765580308291</v>
      </c>
      <c r="J33" s="108">
        <v>30</v>
      </c>
      <c r="K33" s="108">
        <v>0</v>
      </c>
      <c r="L33" s="108">
        <f aca="true" t="shared" si="3" ref="L33:L40">PI()/32*(J33^4-K33^4)/J33/1000</f>
        <v>2.6507188014663874</v>
      </c>
      <c r="M33" s="108">
        <f aca="true" t="shared" si="4" ref="M33:M40">L33/H33</f>
        <v>2.48611778310404</v>
      </c>
      <c r="N33" s="125" t="s">
        <v>376</v>
      </c>
      <c r="O33" s="70"/>
      <c r="P33" s="426">
        <v>4</v>
      </c>
      <c r="Q33" s="415"/>
      <c r="R33" s="245"/>
    </row>
    <row r="34" spans="1:18" s="301" customFormat="1" ht="12.75">
      <c r="A34" s="324" t="s">
        <v>344</v>
      </c>
      <c r="B34" s="324"/>
      <c r="C34" s="43"/>
      <c r="D34" s="286">
        <v>500</v>
      </c>
      <c r="E34" s="309">
        <f>(D33-D34)/D33*J29</f>
        <v>673.4554618536584</v>
      </c>
      <c r="F34" s="309">
        <f>F36</f>
        <v>319.86241594999996</v>
      </c>
      <c r="G34" s="310">
        <f t="shared" si="1"/>
        <v>801.160212470166</v>
      </c>
      <c r="H34" s="311">
        <f>G34/L29</f>
        <v>2.67053404156722</v>
      </c>
      <c r="I34" s="311">
        <f t="shared" si="2"/>
        <v>30.04147198344308</v>
      </c>
      <c r="J34" s="108">
        <v>38</v>
      </c>
      <c r="K34" s="108">
        <v>0</v>
      </c>
      <c r="L34" s="108">
        <f t="shared" si="3"/>
        <v>5.387046002743098</v>
      </c>
      <c r="M34" s="108">
        <f t="shared" si="4"/>
        <v>2.0172167509917514</v>
      </c>
      <c r="N34" s="125" t="s">
        <v>374</v>
      </c>
      <c r="O34" s="70"/>
      <c r="P34" s="426">
        <f>K29/(1.5*P33)</f>
        <v>53.310402658333324</v>
      </c>
      <c r="Q34" s="296" t="s">
        <v>31</v>
      </c>
      <c r="R34" s="245"/>
    </row>
    <row r="35" spans="1:18" s="301" customFormat="1" ht="12.75">
      <c r="A35" s="324" t="s">
        <v>345</v>
      </c>
      <c r="B35" s="324"/>
      <c r="C35" s="43"/>
      <c r="D35" s="286">
        <v>250</v>
      </c>
      <c r="E35" s="309">
        <f>(D33-D35)/D33*J29</f>
        <v>1199.592541426829</v>
      </c>
      <c r="F35" s="309">
        <f>F36</f>
        <v>319.86241594999996</v>
      </c>
      <c r="G35" s="310">
        <f t="shared" si="1"/>
        <v>1279.5517646221365</v>
      </c>
      <c r="H35" s="311">
        <f>G35/L29</f>
        <v>4.265172548740455</v>
      </c>
      <c r="I35" s="311">
        <f t="shared" si="2"/>
        <v>35.11016939184849</v>
      </c>
      <c r="J35" s="108">
        <v>38</v>
      </c>
      <c r="K35" s="108">
        <v>0</v>
      </c>
      <c r="L35" s="108">
        <f t="shared" si="3"/>
        <v>5.387046002743098</v>
      </c>
      <c r="M35" s="108">
        <f t="shared" si="4"/>
        <v>1.263031200070427</v>
      </c>
      <c r="N35" s="424" t="s">
        <v>375</v>
      </c>
      <c r="O35" s="70"/>
      <c r="P35" s="426">
        <f>L29</f>
        <v>300</v>
      </c>
      <c r="Q35" s="296" t="s">
        <v>31</v>
      </c>
      <c r="R35" s="245"/>
    </row>
    <row r="36" spans="1:17" ht="12.75">
      <c r="A36" s="324" t="s">
        <v>317</v>
      </c>
      <c r="B36" s="324"/>
      <c r="C36" s="43"/>
      <c r="D36" s="286">
        <v>0</v>
      </c>
      <c r="E36" s="309">
        <f>(D33-D36)/D33*J29</f>
        <v>1725.7296209999997</v>
      </c>
      <c r="F36" s="309">
        <f>(D33-D36)/D33*K29</f>
        <v>319.86241594999996</v>
      </c>
      <c r="G36" s="309">
        <f t="shared" si="1"/>
        <v>1783.1080643935404</v>
      </c>
      <c r="H36" s="311">
        <f>G36/L29</f>
        <v>5.9436935479784685</v>
      </c>
      <c r="I36" s="311">
        <f t="shared" si="2"/>
        <v>39.21252598705685</v>
      </c>
      <c r="J36" s="108">
        <v>38</v>
      </c>
      <c r="K36" s="108">
        <v>0</v>
      </c>
      <c r="L36" s="108">
        <f t="shared" si="3"/>
        <v>5.387046002743098</v>
      </c>
      <c r="M36" s="108">
        <f t="shared" si="4"/>
        <v>0.906346526660229</v>
      </c>
      <c r="N36" s="125" t="s">
        <v>367</v>
      </c>
      <c r="O36" s="70"/>
      <c r="P36" s="251">
        <f>10*(32*(P34/P35)/PI())^0.333</f>
        <v>12.184593389162682</v>
      </c>
      <c r="Q36" s="296" t="s">
        <v>21</v>
      </c>
    </row>
    <row r="37" spans="1:17" ht="12.75">
      <c r="A37" s="412" t="s">
        <v>365</v>
      </c>
      <c r="B37" s="324"/>
      <c r="C37" s="43" t="str">
        <f>A13</f>
        <v>A</v>
      </c>
      <c r="D37" s="286">
        <f>B14</f>
        <v>240</v>
      </c>
      <c r="E37" s="309">
        <f>J29*O14</f>
        <v>1039.4859172765102</v>
      </c>
      <c r="F37" s="309">
        <f>K29*(M19-SUM(M13:M13))/M19</f>
        <v>236.29247439032332</v>
      </c>
      <c r="G37" s="309">
        <f t="shared" si="1"/>
        <v>1090.6780482128484</v>
      </c>
      <c r="H37" s="311">
        <f>G37/L29</f>
        <v>3.635593494042828</v>
      </c>
      <c r="I37" s="311">
        <f t="shared" si="2"/>
        <v>33.29167267068208</v>
      </c>
      <c r="J37" s="108">
        <v>38</v>
      </c>
      <c r="K37" s="108">
        <v>0</v>
      </c>
      <c r="L37" s="108">
        <f t="shared" si="3"/>
        <v>5.387046002743098</v>
      </c>
      <c r="M37" s="108">
        <f t="shared" si="4"/>
        <v>1.4817514696211627</v>
      </c>
      <c r="N37" s="125" t="s">
        <v>368</v>
      </c>
      <c r="O37" s="70"/>
      <c r="P37" s="296">
        <v>12</v>
      </c>
      <c r="Q37" s="296" t="s">
        <v>21</v>
      </c>
    </row>
    <row r="38" spans="1:17" ht="12.75">
      <c r="A38" s="412" t="s">
        <v>365</v>
      </c>
      <c r="B38" s="324"/>
      <c r="C38" s="43" t="str">
        <f>A14</f>
        <v>B</v>
      </c>
      <c r="D38" s="286">
        <f>B15</f>
        <v>480</v>
      </c>
      <c r="E38" s="309">
        <f>J29*O15</f>
        <v>540.5382223874518</v>
      </c>
      <c r="F38" s="309">
        <f>K29*(M19-SUM(M13:M14))/M19</f>
        <v>156.42208623785143</v>
      </c>
      <c r="G38" s="309">
        <f t="shared" si="1"/>
        <v>582.5402458322775</v>
      </c>
      <c r="H38" s="311">
        <f>G38/L29</f>
        <v>1.9418008194409249</v>
      </c>
      <c r="I38" s="311">
        <f t="shared" si="2"/>
        <v>27.016942197810824</v>
      </c>
      <c r="J38" s="108">
        <v>33</v>
      </c>
      <c r="K38" s="108">
        <v>0</v>
      </c>
      <c r="L38" s="108">
        <f t="shared" si="3"/>
        <v>3.5281067247517623</v>
      </c>
      <c r="M38" s="108">
        <f t="shared" si="4"/>
        <v>1.8169251395040404</v>
      </c>
      <c r="N38" s="125" t="s">
        <v>369</v>
      </c>
      <c r="O38" s="70"/>
      <c r="P38" s="293">
        <f>(P37/P36)^2</f>
        <v>0.969930039906384</v>
      </c>
      <c r="Q38" s="296" t="s">
        <v>7</v>
      </c>
    </row>
    <row r="39" spans="1:18" ht="12.75">
      <c r="A39" s="412" t="s">
        <v>365</v>
      </c>
      <c r="B39" s="324"/>
      <c r="C39" s="43" t="str">
        <f>A15</f>
        <v>C</v>
      </c>
      <c r="D39" s="286">
        <f>B16</f>
        <v>720</v>
      </c>
      <c r="E39" s="309">
        <f>J29*O16</f>
        <v>217.10255354161313</v>
      </c>
      <c r="F39" s="309">
        <f>K29*(M19-SUM(M13:M15))/M19</f>
        <v>86.80750911028292</v>
      </c>
      <c r="G39" s="309">
        <f t="shared" si="1"/>
        <v>247.54380652152412</v>
      </c>
      <c r="H39" s="311">
        <f>G39/L29</f>
        <v>0.8251460217384138</v>
      </c>
      <c r="I39" s="311">
        <f t="shared" si="2"/>
        <v>20.317431067101104</v>
      </c>
      <c r="J39" s="108">
        <v>28</v>
      </c>
      <c r="K39" s="108">
        <v>0</v>
      </c>
      <c r="L39" s="108">
        <f t="shared" si="3"/>
        <v>2.155132560362598</v>
      </c>
      <c r="M39" s="108">
        <f t="shared" si="4"/>
        <v>2.6118196096033706</v>
      </c>
      <c r="N39" s="416" t="s">
        <v>377</v>
      </c>
      <c r="O39" s="33"/>
      <c r="P39" s="33"/>
      <c r="Q39" s="70"/>
      <c r="R39" s="312"/>
    </row>
    <row r="40" spans="1:18" ht="12.75">
      <c r="A40" s="427" t="s">
        <v>365</v>
      </c>
      <c r="B40" s="297"/>
      <c r="C40" s="299" t="str">
        <f>A16</f>
        <v>D</v>
      </c>
      <c r="D40" s="428">
        <f>B17</f>
        <v>960</v>
      </c>
      <c r="E40" s="429">
        <f>J29*O17</f>
        <v>47.5518364398297</v>
      </c>
      <c r="F40" s="429">
        <f>K29*(M19-SUM(M13:M16))/M19</f>
        <v>33.095236810487265</v>
      </c>
      <c r="G40" s="429">
        <f t="shared" si="1"/>
        <v>64.52624320932212</v>
      </c>
      <c r="H40" s="430">
        <f>G40/L29</f>
        <v>0.21508747736440706</v>
      </c>
      <c r="I40" s="430">
        <f t="shared" si="2"/>
        <v>12.98448927922671</v>
      </c>
      <c r="J40" s="431">
        <v>23</v>
      </c>
      <c r="K40" s="431">
        <v>0</v>
      </c>
      <c r="L40" s="431">
        <f t="shared" si="3"/>
        <v>1.1944924317570942</v>
      </c>
      <c r="M40" s="431">
        <f t="shared" si="4"/>
        <v>5.553519183886994</v>
      </c>
      <c r="R40" s="312"/>
    </row>
    <row r="41" spans="1:18" ht="12.75">
      <c r="A41" s="436" t="s">
        <v>321</v>
      </c>
      <c r="B41" s="74"/>
      <c r="C41" s="75"/>
      <c r="D41" s="75"/>
      <c r="E41" s="76"/>
      <c r="F41" s="77"/>
      <c r="G41" s="77"/>
      <c r="H41" s="77"/>
      <c r="I41" s="77"/>
      <c r="J41" s="76"/>
      <c r="K41" s="79"/>
      <c r="L41" s="74"/>
      <c r="M41" s="400"/>
      <c r="N41" s="33"/>
      <c r="O41" s="33"/>
      <c r="P41" s="33"/>
      <c r="Q41" s="70"/>
      <c r="R41" s="312"/>
    </row>
    <row r="42" spans="1:18" ht="12.75">
      <c r="A42" s="432" t="str">
        <f>A3</f>
        <v>Chantier:</v>
      </c>
      <c r="B42" s="432"/>
      <c r="C42" s="432"/>
      <c r="D42" s="432"/>
      <c r="E42" s="432" t="str">
        <f>E3</f>
        <v> Bateau :</v>
      </c>
      <c r="F42" s="432"/>
      <c r="G42" s="432" t="str">
        <f>G3</f>
        <v>Day Boat 30</v>
      </c>
      <c r="H42" s="432"/>
      <c r="I42" s="433"/>
      <c r="J42" s="434" t="str">
        <f>J3</f>
        <v>Architecte :</v>
      </c>
      <c r="K42" s="435"/>
      <c r="L42" s="433" t="str">
        <f>L3</f>
        <v>  Graal</v>
      </c>
      <c r="M42" s="434"/>
      <c r="N42" s="434"/>
      <c r="O42" s="434"/>
      <c r="P42" s="434"/>
      <c r="Q42" s="435"/>
      <c r="R42" s="312"/>
    </row>
    <row r="43" spans="1:18" ht="12.75">
      <c r="A43" s="125" t="s">
        <v>346</v>
      </c>
      <c r="B43" s="33"/>
      <c r="C43" s="33"/>
      <c r="D43" s="33"/>
      <c r="E43" s="413" t="s">
        <v>347</v>
      </c>
      <c r="F43" s="398"/>
      <c r="G43" s="398"/>
      <c r="H43" s="399"/>
      <c r="I43" s="399"/>
      <c r="J43" s="400"/>
      <c r="K43" s="400"/>
      <c r="L43" s="400"/>
      <c r="M43" s="414"/>
      <c r="N43" s="312"/>
      <c r="R43" s="312"/>
    </row>
    <row r="44" spans="1:13" ht="12.75">
      <c r="A44" s="312" t="s">
        <v>348</v>
      </c>
      <c r="M44" s="370"/>
    </row>
    <row r="45" spans="1:13" ht="12.75">
      <c r="A45" s="371"/>
      <c r="B45" s="47" t="s">
        <v>7</v>
      </c>
      <c r="C45" s="47" t="s">
        <v>7</v>
      </c>
      <c r="D45" s="47" t="s">
        <v>7</v>
      </c>
      <c r="E45" s="47" t="s">
        <v>7</v>
      </c>
      <c r="F45" s="47" t="s">
        <v>7</v>
      </c>
      <c r="G45" s="372"/>
      <c r="M45" s="370"/>
    </row>
    <row r="46" spans="1:15" ht="12.75">
      <c r="A46" s="136" t="s">
        <v>29</v>
      </c>
      <c r="B46" s="136" t="s">
        <v>349</v>
      </c>
      <c r="C46" s="136" t="s">
        <v>242</v>
      </c>
      <c r="D46" s="136" t="s">
        <v>243</v>
      </c>
      <c r="E46" s="136" t="s">
        <v>244</v>
      </c>
      <c r="F46" s="136" t="s">
        <v>245</v>
      </c>
      <c r="G46" s="252" t="s">
        <v>246</v>
      </c>
      <c r="H46" s="252"/>
      <c r="I46" s="252" t="s">
        <v>242</v>
      </c>
      <c r="J46" s="373" t="s">
        <v>350</v>
      </c>
      <c r="K46" s="252"/>
      <c r="L46" s="252"/>
      <c r="M46" s="374"/>
      <c r="N46" s="253"/>
      <c r="O46" s="253"/>
    </row>
    <row r="47" spans="1:15" ht="12.75">
      <c r="A47" s="136" t="s">
        <v>185</v>
      </c>
      <c r="B47" s="136" t="s">
        <v>351</v>
      </c>
      <c r="C47" s="136" t="s">
        <v>249</v>
      </c>
      <c r="D47" s="136" t="s">
        <v>250</v>
      </c>
      <c r="E47" s="136" t="s">
        <v>251</v>
      </c>
      <c r="F47" s="136" t="s">
        <v>252</v>
      </c>
      <c r="G47" s="252" t="s">
        <v>253</v>
      </c>
      <c r="H47" s="18"/>
      <c r="I47" s="252" t="s">
        <v>352</v>
      </c>
      <c r="J47" s="252" t="s">
        <v>353</v>
      </c>
      <c r="K47" s="18"/>
      <c r="L47" s="18"/>
      <c r="M47" s="374"/>
      <c r="N47" s="253"/>
      <c r="O47" s="253"/>
    </row>
    <row r="48" spans="1:15" ht="12.75">
      <c r="A48" s="47"/>
      <c r="B48" s="136" t="s">
        <v>256</v>
      </c>
      <c r="C48" s="136" t="s">
        <v>256</v>
      </c>
      <c r="D48" s="136" t="s">
        <v>256</v>
      </c>
      <c r="E48" s="136" t="s">
        <v>257</v>
      </c>
      <c r="F48" s="136" t="s">
        <v>256</v>
      </c>
      <c r="G48" s="252" t="s">
        <v>256</v>
      </c>
      <c r="H48" s="252"/>
      <c r="I48" s="252" t="s">
        <v>256</v>
      </c>
      <c r="J48" s="252" t="s">
        <v>354</v>
      </c>
      <c r="K48" s="252"/>
      <c r="L48" s="252"/>
      <c r="M48" s="374"/>
      <c r="N48" s="253"/>
      <c r="O48" s="253"/>
    </row>
    <row r="49" spans="1:15" ht="12.75">
      <c r="A49" s="136" t="str">
        <f aca="true" t="shared" si="5" ref="A49:G54">A13</f>
        <v>A</v>
      </c>
      <c r="B49" s="286">
        <f t="shared" si="5"/>
        <v>0</v>
      </c>
      <c r="C49" s="286">
        <f t="shared" si="5"/>
        <v>460</v>
      </c>
      <c r="D49" s="114">
        <f t="shared" si="5"/>
        <v>0.6</v>
      </c>
      <c r="E49" s="114">
        <f t="shared" si="5"/>
        <v>13.5</v>
      </c>
      <c r="F49" s="286">
        <f t="shared" si="5"/>
        <v>98</v>
      </c>
      <c r="G49" s="286">
        <f t="shared" si="5"/>
        <v>362</v>
      </c>
      <c r="H49" s="114"/>
      <c r="I49" s="251">
        <f aca="true" t="shared" si="6" ref="I49:I54">(C49*0.694+60/E49*D49)/0.69525</f>
        <v>463.00851012825126</v>
      </c>
      <c r="J49" s="251">
        <f aca="true" t="shared" si="7" ref="J49:J54">I49/100*0.922*(E49/12)^2</f>
        <v>5.402875242718447</v>
      </c>
      <c r="K49" s="136"/>
      <c r="L49" s="136"/>
      <c r="M49" s="375"/>
      <c r="N49" s="375"/>
      <c r="O49" s="375"/>
    </row>
    <row r="50" spans="1:15" ht="12.75">
      <c r="A50" s="136" t="str">
        <f t="shared" si="5"/>
        <v>B</v>
      </c>
      <c r="B50" s="286">
        <f t="shared" si="5"/>
        <v>240</v>
      </c>
      <c r="C50" s="286">
        <f t="shared" si="5"/>
        <v>454</v>
      </c>
      <c r="D50" s="114">
        <f t="shared" si="5"/>
        <v>0.6</v>
      </c>
      <c r="E50" s="114">
        <f t="shared" si="5"/>
        <v>13.5</v>
      </c>
      <c r="F50" s="286">
        <f t="shared" si="5"/>
        <v>93</v>
      </c>
      <c r="G50" s="286">
        <f t="shared" si="5"/>
        <v>361</v>
      </c>
      <c r="H50" s="114"/>
      <c r="I50" s="251">
        <f t="shared" si="6"/>
        <v>457.0192976147669</v>
      </c>
      <c r="J50" s="251">
        <f t="shared" si="7"/>
        <v>5.332986747572816</v>
      </c>
      <c r="K50" s="136"/>
      <c r="L50" s="136"/>
      <c r="M50" s="370"/>
      <c r="O50" s="375"/>
    </row>
    <row r="51" spans="1:15" ht="12.75">
      <c r="A51" s="136" t="str">
        <f t="shared" si="5"/>
        <v>C</v>
      </c>
      <c r="B51" s="286">
        <f t="shared" si="5"/>
        <v>480</v>
      </c>
      <c r="C51" s="286">
        <f t="shared" si="5"/>
        <v>426</v>
      </c>
      <c r="D51" s="114">
        <f t="shared" si="5"/>
        <v>0.6</v>
      </c>
      <c r="E51" s="114">
        <f t="shared" si="5"/>
        <v>13.5</v>
      </c>
      <c r="F51" s="286">
        <f t="shared" si="5"/>
        <v>83</v>
      </c>
      <c r="G51" s="286">
        <f t="shared" si="5"/>
        <v>343</v>
      </c>
      <c r="H51" s="114"/>
      <c r="I51" s="251">
        <f t="shared" si="6"/>
        <v>429.0696392185066</v>
      </c>
      <c r="J51" s="251">
        <f t="shared" si="7"/>
        <v>5.006840436893205</v>
      </c>
      <c r="K51" s="136"/>
      <c r="L51" s="136"/>
      <c r="M51" s="370"/>
      <c r="O51" s="375"/>
    </row>
    <row r="52" spans="1:15" ht="12.75">
      <c r="A52" s="136" t="str">
        <f t="shared" si="5"/>
        <v>D</v>
      </c>
      <c r="B52" s="286">
        <f t="shared" si="5"/>
        <v>720</v>
      </c>
      <c r="C52" s="286">
        <f t="shared" si="5"/>
        <v>374</v>
      </c>
      <c r="D52" s="114">
        <f t="shared" si="5"/>
        <v>0.6</v>
      </c>
      <c r="E52" s="114">
        <f t="shared" si="5"/>
        <v>13.5</v>
      </c>
      <c r="F52" s="286">
        <f t="shared" si="5"/>
        <v>64</v>
      </c>
      <c r="G52" s="286">
        <f t="shared" si="5"/>
        <v>310</v>
      </c>
      <c r="H52" s="114"/>
      <c r="I52" s="251">
        <f t="shared" si="6"/>
        <v>377.1631307683088</v>
      </c>
      <c r="J52" s="251">
        <f t="shared" si="7"/>
        <v>4.401140145631069</v>
      </c>
      <c r="K52" s="136"/>
      <c r="L52" s="136"/>
      <c r="M52" s="370"/>
      <c r="O52" s="375"/>
    </row>
    <row r="53" spans="1:15" ht="12.75">
      <c r="A53" s="136" t="str">
        <f t="shared" si="5"/>
        <v>E</v>
      </c>
      <c r="B53" s="286">
        <f t="shared" si="5"/>
        <v>960</v>
      </c>
      <c r="C53" s="286">
        <f t="shared" si="5"/>
        <v>298</v>
      </c>
      <c r="D53" s="114">
        <f t="shared" si="5"/>
        <v>0.6</v>
      </c>
      <c r="E53" s="114">
        <f t="shared" si="5"/>
        <v>13.5</v>
      </c>
      <c r="F53" s="286">
        <f t="shared" si="5"/>
        <v>40</v>
      </c>
      <c r="G53" s="286">
        <f t="shared" si="5"/>
        <v>258</v>
      </c>
      <c r="H53" s="114"/>
      <c r="I53" s="251">
        <f t="shared" si="6"/>
        <v>301.29977226417355</v>
      </c>
      <c r="J53" s="251">
        <f t="shared" si="7"/>
        <v>3.515885873786408</v>
      </c>
      <c r="K53" s="136"/>
      <c r="L53" s="136"/>
      <c r="M53" s="370"/>
      <c r="O53" s="375"/>
    </row>
    <row r="54" spans="1:15" ht="13.5" thickBot="1">
      <c r="A54" s="136" t="str">
        <f t="shared" si="5"/>
        <v>F</v>
      </c>
      <c r="B54" s="286">
        <f t="shared" si="5"/>
        <v>1200</v>
      </c>
      <c r="C54" s="286">
        <f t="shared" si="5"/>
        <v>194</v>
      </c>
      <c r="D54" s="114">
        <f t="shared" si="5"/>
        <v>0.6</v>
      </c>
      <c r="E54" s="114">
        <f t="shared" si="5"/>
        <v>13.5</v>
      </c>
      <c r="F54" s="286">
        <f t="shared" si="5"/>
        <v>12</v>
      </c>
      <c r="G54" s="286">
        <f t="shared" si="5"/>
        <v>182</v>
      </c>
      <c r="H54" s="114"/>
      <c r="I54" s="251">
        <f t="shared" si="6"/>
        <v>197.48675536377803</v>
      </c>
      <c r="J54" s="251">
        <f t="shared" si="7"/>
        <v>2.3044852912621363</v>
      </c>
      <c r="K54" s="136"/>
      <c r="L54" s="136"/>
      <c r="M54" s="370"/>
      <c r="O54" s="375"/>
    </row>
    <row r="55" spans="1:15" ht="12.75">
      <c r="A55" s="376" t="s">
        <v>185</v>
      </c>
      <c r="B55" s="377" t="s">
        <v>355</v>
      </c>
      <c r="C55" s="378">
        <v>0.5</v>
      </c>
      <c r="D55" s="378">
        <v>0.75</v>
      </c>
      <c r="E55" s="378">
        <v>1.25</v>
      </c>
      <c r="F55" s="378">
        <v>2.5</v>
      </c>
      <c r="G55" s="378">
        <v>5</v>
      </c>
      <c r="H55" s="378">
        <v>7.5</v>
      </c>
      <c r="I55" s="378">
        <v>10</v>
      </c>
      <c r="J55" s="378">
        <v>20</v>
      </c>
      <c r="K55" s="378">
        <v>30</v>
      </c>
      <c r="L55" s="378">
        <v>40</v>
      </c>
      <c r="M55" s="378">
        <v>60</v>
      </c>
      <c r="N55" s="378">
        <v>80</v>
      </c>
      <c r="O55" s="379">
        <f>C49/I49*100</f>
        <v>99.35022573830923</v>
      </c>
    </row>
    <row r="56" spans="1:15" ht="14.25">
      <c r="A56" s="380" t="s">
        <v>1</v>
      </c>
      <c r="B56" s="373" t="s">
        <v>356</v>
      </c>
      <c r="C56" s="381">
        <f aca="true" t="shared" si="8" ref="C56:N56">$I$49*C55/100</f>
        <v>2.315042550641256</v>
      </c>
      <c r="D56" s="381">
        <f t="shared" si="8"/>
        <v>3.4725638259618847</v>
      </c>
      <c r="E56" s="381">
        <f t="shared" si="8"/>
        <v>5.78760637660314</v>
      </c>
      <c r="F56" s="381">
        <f t="shared" si="8"/>
        <v>11.57521275320628</v>
      </c>
      <c r="G56" s="381">
        <f t="shared" si="8"/>
        <v>23.15042550641256</v>
      </c>
      <c r="H56" s="381">
        <f t="shared" si="8"/>
        <v>34.72563825961885</v>
      </c>
      <c r="I56" s="381">
        <f t="shared" si="8"/>
        <v>46.30085101282512</v>
      </c>
      <c r="J56" s="381">
        <f t="shared" si="8"/>
        <v>92.60170202565024</v>
      </c>
      <c r="K56" s="381">
        <f t="shared" si="8"/>
        <v>138.9025530384754</v>
      </c>
      <c r="L56" s="381">
        <f t="shared" si="8"/>
        <v>185.20340405130048</v>
      </c>
      <c r="M56" s="381">
        <f t="shared" si="8"/>
        <v>277.8051060769508</v>
      </c>
      <c r="N56" s="381">
        <f t="shared" si="8"/>
        <v>370.40680810260096</v>
      </c>
      <c r="O56" s="382">
        <f>C49</f>
        <v>460</v>
      </c>
    </row>
    <row r="57" spans="1:15" ht="13.5" thickBot="1">
      <c r="A57" s="383"/>
      <c r="B57" s="384" t="s">
        <v>357</v>
      </c>
      <c r="C57" s="385">
        <f>0.913*$I$49*$E$49/12/100</f>
        <v>4.755676159654801</v>
      </c>
      <c r="D57" s="385">
        <f>1.106*$I$49*$E$49/12/100</f>
        <v>5.760983387270767</v>
      </c>
      <c r="E57" s="385">
        <f>1.414*$I$49*$E$49/12/100</f>
        <v>7.365307874865156</v>
      </c>
      <c r="F57" s="385">
        <f>1.942*$I$49*$E$49/12/100</f>
        <v>10.11557842502697</v>
      </c>
      <c r="G57" s="385">
        <f>2.614*$I$49*$E$49/12/100</f>
        <v>13.615922761596549</v>
      </c>
      <c r="H57" s="385">
        <f>3.176*$I$49*$E$49/12/100</f>
        <v>16.543294066882417</v>
      </c>
      <c r="I57" s="385">
        <f>3.647*$I$49*$E$49/12/100</f>
        <v>18.996660409924488</v>
      </c>
      <c r="J57" s="385">
        <f>4.956*$I$49*$E$49/12/100</f>
        <v>25.81503948220065</v>
      </c>
      <c r="K57" s="385">
        <f>5.693*$I$49*$E$49/12/100</f>
        <v>29.65395879180151</v>
      </c>
      <c r="L57" s="385">
        <f>5.995*$I$49*$E$49/12/100</f>
        <v>31.227030204962247</v>
      </c>
      <c r="M57" s="385">
        <f>5.143*$I$49*$E$49/12/100</f>
        <v>26.789093635382955</v>
      </c>
      <c r="N57" s="385">
        <f>2.798*$I$49*$E$49/12/100</f>
        <v>14.57435037756203</v>
      </c>
      <c r="O57" s="386">
        <f>D49</f>
        <v>0.6</v>
      </c>
    </row>
    <row r="58" spans="1:15" ht="12.75">
      <c r="A58" s="376" t="s">
        <v>185</v>
      </c>
      <c r="B58" s="377" t="s">
        <v>355</v>
      </c>
      <c r="C58" s="378">
        <v>0.5</v>
      </c>
      <c r="D58" s="378">
        <v>0.75</v>
      </c>
      <c r="E58" s="378">
        <v>1.25</v>
      </c>
      <c r="F58" s="378">
        <v>2.5</v>
      </c>
      <c r="G58" s="378">
        <v>5</v>
      </c>
      <c r="H58" s="378">
        <v>7.5</v>
      </c>
      <c r="I58" s="378">
        <v>10</v>
      </c>
      <c r="J58" s="378">
        <v>20</v>
      </c>
      <c r="K58" s="378">
        <v>30</v>
      </c>
      <c r="L58" s="378">
        <v>40</v>
      </c>
      <c r="M58" s="378">
        <v>60</v>
      </c>
      <c r="N58" s="378">
        <v>80</v>
      </c>
      <c r="O58" s="379">
        <f>C50/I50*100</f>
        <v>99.33935008203703</v>
      </c>
    </row>
    <row r="59" spans="1:15" ht="14.25">
      <c r="A59" s="380" t="s">
        <v>258</v>
      </c>
      <c r="B59" s="373" t="s">
        <v>356</v>
      </c>
      <c r="C59" s="381">
        <f aca="true" t="shared" si="9" ref="C59:N59">$I$50*C58/100</f>
        <v>2.2850964880738345</v>
      </c>
      <c r="D59" s="381">
        <f t="shared" si="9"/>
        <v>3.427644732110752</v>
      </c>
      <c r="E59" s="381">
        <f t="shared" si="9"/>
        <v>5.712741220184586</v>
      </c>
      <c r="F59" s="381">
        <f t="shared" si="9"/>
        <v>11.425482440369173</v>
      </c>
      <c r="G59" s="381">
        <f t="shared" si="9"/>
        <v>22.850964880738346</v>
      </c>
      <c r="H59" s="381">
        <f t="shared" si="9"/>
        <v>34.27644732110752</v>
      </c>
      <c r="I59" s="381">
        <f t="shared" si="9"/>
        <v>45.70192976147669</v>
      </c>
      <c r="J59" s="381">
        <f t="shared" si="9"/>
        <v>91.40385952295338</v>
      </c>
      <c r="K59" s="381">
        <f t="shared" si="9"/>
        <v>137.10578928443007</v>
      </c>
      <c r="L59" s="381">
        <f t="shared" si="9"/>
        <v>182.80771904590677</v>
      </c>
      <c r="M59" s="381">
        <f t="shared" si="9"/>
        <v>274.21157856886015</v>
      </c>
      <c r="N59" s="381">
        <f t="shared" si="9"/>
        <v>365.61543809181353</v>
      </c>
      <c r="O59" s="382">
        <f>C50</f>
        <v>454</v>
      </c>
    </row>
    <row r="60" spans="1:15" ht="13.5" thickBot="1">
      <c r="A60" s="387"/>
      <c r="B60" s="384" t="s">
        <v>357</v>
      </c>
      <c r="C60" s="388">
        <f>0.913*$I$50*$E$50/12/100</f>
        <v>4.6941594606256745</v>
      </c>
      <c r="D60" s="388">
        <f>1.106*$I$50*$E$50/12/100</f>
        <v>5.686462610571738</v>
      </c>
      <c r="E60" s="388">
        <f>1.414*$I$50*$E$50/12/100</f>
        <v>7.270034476806904</v>
      </c>
      <c r="F60" s="388">
        <f>1.942*$I$50*$E$50/12/100</f>
        <v>9.98472910463862</v>
      </c>
      <c r="G60" s="388">
        <f>2.614*$I$50*$E$50/12/100</f>
        <v>13.43979499460626</v>
      </c>
      <c r="H60" s="388">
        <f>3.176*$I$50*$E$50/12/100</f>
        <v>16.329299503775623</v>
      </c>
      <c r="I60" s="388">
        <f>3.647*$I$50*$E$50/12/100</f>
        <v>18.750930507011866</v>
      </c>
      <c r="J60" s="388">
        <f>4.956*$I$50*$E$50/12/100</f>
        <v>25.481110938511332</v>
      </c>
      <c r="K60" s="388">
        <f>5.693*$I$50*$E$50/12/100</f>
        <v>29.27037218985976</v>
      </c>
      <c r="L60" s="388">
        <f>5.995*$I$50*$E$50/12/100</f>
        <v>30.82309525350594</v>
      </c>
      <c r="M60" s="388">
        <f>5.143*$I$50*$E$50/12/100</f>
        <v>26.442565285868394</v>
      </c>
      <c r="N60" s="388">
        <f>2.798*$I$50*$E$50/12/100</f>
        <v>14.385824940668826</v>
      </c>
      <c r="O60" s="389">
        <f>D50</f>
        <v>0.6</v>
      </c>
    </row>
    <row r="61" spans="1:15" ht="12.75">
      <c r="A61" s="376" t="s">
        <v>185</v>
      </c>
      <c r="B61" s="377" t="s">
        <v>355</v>
      </c>
      <c r="C61" s="378">
        <v>0.5</v>
      </c>
      <c r="D61" s="378">
        <v>0.75</v>
      </c>
      <c r="E61" s="378">
        <v>1.25</v>
      </c>
      <c r="F61" s="378">
        <v>2.5</v>
      </c>
      <c r="G61" s="378">
        <v>5</v>
      </c>
      <c r="H61" s="378">
        <v>7.5</v>
      </c>
      <c r="I61" s="378">
        <v>10</v>
      </c>
      <c r="J61" s="378">
        <v>20</v>
      </c>
      <c r="K61" s="378">
        <v>30</v>
      </c>
      <c r="L61" s="378">
        <v>40</v>
      </c>
      <c r="M61" s="378">
        <v>60</v>
      </c>
      <c r="N61" s="378">
        <v>80</v>
      </c>
      <c r="O61" s="379">
        <f>C51/I51*100</f>
        <v>99.28458251576654</v>
      </c>
    </row>
    <row r="62" spans="1:15" ht="14.25">
      <c r="A62" s="380" t="s">
        <v>259</v>
      </c>
      <c r="B62" s="373" t="s">
        <v>356</v>
      </c>
      <c r="C62" s="390">
        <f aca="true" t="shared" si="10" ref="C62:N62">$I$51*C61/100</f>
        <v>2.145348196092533</v>
      </c>
      <c r="D62" s="390">
        <f t="shared" si="10"/>
        <v>3.2180222941387995</v>
      </c>
      <c r="E62" s="390">
        <f t="shared" si="10"/>
        <v>5.363370490231332</v>
      </c>
      <c r="F62" s="390">
        <f t="shared" si="10"/>
        <v>10.726740980462663</v>
      </c>
      <c r="G62" s="390">
        <f t="shared" si="10"/>
        <v>21.453481960925327</v>
      </c>
      <c r="H62" s="390">
        <f t="shared" si="10"/>
        <v>32.180222941387996</v>
      </c>
      <c r="I62" s="390">
        <f t="shared" si="10"/>
        <v>42.906963921850654</v>
      </c>
      <c r="J62" s="390">
        <f t="shared" si="10"/>
        <v>85.81392784370131</v>
      </c>
      <c r="K62" s="390">
        <f t="shared" si="10"/>
        <v>128.72089176555198</v>
      </c>
      <c r="L62" s="390">
        <f t="shared" si="10"/>
        <v>171.62785568740262</v>
      </c>
      <c r="M62" s="390">
        <f t="shared" si="10"/>
        <v>257.44178353110397</v>
      </c>
      <c r="N62" s="390">
        <f t="shared" si="10"/>
        <v>343.25571137480523</v>
      </c>
      <c r="O62" s="391">
        <f>C51</f>
        <v>426</v>
      </c>
    </row>
    <row r="63" spans="1:15" ht="13.5" thickBot="1">
      <c r="A63" s="392"/>
      <c r="B63" s="384" t="s">
        <v>357</v>
      </c>
      <c r="C63" s="393">
        <f>0.913*$I$51*$E$51/12/100</f>
        <v>4.407081531823087</v>
      </c>
      <c r="D63" s="393">
        <f>1.106*$I$51*$E$51/12/100</f>
        <v>5.338698985976269</v>
      </c>
      <c r="E63" s="393">
        <f>1.414*$I$51*$E$51/12/100</f>
        <v>6.825425285868395</v>
      </c>
      <c r="F63" s="393">
        <f>1.942*$I$51*$E$51/12/100</f>
        <v>9.374098942826324</v>
      </c>
      <c r="G63" s="393">
        <f>2.614*$I$51*$E$51/12/100</f>
        <v>12.617865415318231</v>
      </c>
      <c r="H63" s="393">
        <f>3.176*$I$51*$E$51/12/100</f>
        <v>15.330658209277242</v>
      </c>
      <c r="I63" s="393">
        <f>3.647*$I$51*$E$51/12/100</f>
        <v>17.6041909600863</v>
      </c>
      <c r="J63" s="393">
        <f>4.956*$I$51*$E$51/12/100</f>
        <v>23.92277773462784</v>
      </c>
      <c r="K63" s="393">
        <f>5.693*$I$51*$E$51/12/100</f>
        <v>27.480301380798277</v>
      </c>
      <c r="L63" s="393">
        <f>5.995*$I$51*$E$51/12/100</f>
        <v>28.938065480043157</v>
      </c>
      <c r="M63" s="393">
        <f>5.143*$I$51*$E$51/12/100</f>
        <v>24.825432988133766</v>
      </c>
      <c r="N63" s="393">
        <f>2.798*$I$51*$E$51/12/100</f>
        <v>13.506039568500544</v>
      </c>
      <c r="O63" s="394">
        <f>D51</f>
        <v>0.6</v>
      </c>
    </row>
    <row r="64" spans="1:15" ht="12.75">
      <c r="A64" s="376" t="s">
        <v>185</v>
      </c>
      <c r="B64" s="377" t="s">
        <v>355</v>
      </c>
      <c r="C64" s="378">
        <v>0.5</v>
      </c>
      <c r="D64" s="378">
        <v>0.75</v>
      </c>
      <c r="E64" s="378">
        <v>1.25</v>
      </c>
      <c r="F64" s="378">
        <v>2.5</v>
      </c>
      <c r="G64" s="378">
        <v>5</v>
      </c>
      <c r="H64" s="378">
        <v>7.5</v>
      </c>
      <c r="I64" s="378">
        <v>10</v>
      </c>
      <c r="J64" s="378">
        <v>20</v>
      </c>
      <c r="K64" s="378">
        <v>30</v>
      </c>
      <c r="L64" s="378">
        <v>40</v>
      </c>
      <c r="M64" s="378">
        <v>60</v>
      </c>
      <c r="N64" s="378">
        <v>80</v>
      </c>
      <c r="O64" s="379">
        <f>C52/I52*100</f>
        <v>99.16133616722682</v>
      </c>
    </row>
    <row r="65" spans="1:15" ht="14.25">
      <c r="A65" s="395" t="s">
        <v>4</v>
      </c>
      <c r="B65" s="373" t="s">
        <v>356</v>
      </c>
      <c r="C65" s="381">
        <f aca="true" t="shared" si="11" ref="C65:N65">$I$52*C64/100</f>
        <v>1.885815653841544</v>
      </c>
      <c r="D65" s="381">
        <f t="shared" si="11"/>
        <v>2.8287234807623163</v>
      </c>
      <c r="E65" s="381">
        <f t="shared" si="11"/>
        <v>4.71453913460386</v>
      </c>
      <c r="F65" s="381">
        <f t="shared" si="11"/>
        <v>9.42907826920772</v>
      </c>
      <c r="G65" s="381">
        <f t="shared" si="11"/>
        <v>18.85815653841544</v>
      </c>
      <c r="H65" s="381">
        <f t="shared" si="11"/>
        <v>28.287234807623157</v>
      </c>
      <c r="I65" s="381">
        <f t="shared" si="11"/>
        <v>37.71631307683088</v>
      </c>
      <c r="J65" s="381">
        <f t="shared" si="11"/>
        <v>75.43262615366176</v>
      </c>
      <c r="K65" s="381">
        <f t="shared" si="11"/>
        <v>113.14893923049263</v>
      </c>
      <c r="L65" s="381">
        <f t="shared" si="11"/>
        <v>150.86525230732352</v>
      </c>
      <c r="M65" s="381">
        <f t="shared" si="11"/>
        <v>226.29787846098526</v>
      </c>
      <c r="N65" s="381">
        <f t="shared" si="11"/>
        <v>301.73050461464703</v>
      </c>
      <c r="O65" s="382">
        <f>C52</f>
        <v>374</v>
      </c>
    </row>
    <row r="66" spans="1:15" ht="13.5" thickBot="1">
      <c r="A66" s="392"/>
      <c r="B66" s="384" t="s">
        <v>357</v>
      </c>
      <c r="C66" s="396">
        <f>0.913*$I$52*$E$52/12/100</f>
        <v>3.873936806903992</v>
      </c>
      <c r="D66" s="396">
        <f>1.106*$I$52*$E$52/12/100</f>
        <v>4.6928522545846825</v>
      </c>
      <c r="E66" s="396">
        <f>1.414*$I$52*$E$52/12/100</f>
        <v>5.999722502696872</v>
      </c>
      <c r="F66" s="396">
        <f>1.942*$I$52*$E$52/12/100</f>
        <v>8.240071499460626</v>
      </c>
      <c r="G66" s="396">
        <f>2.614*$I$52*$E$52/12/100</f>
        <v>11.091424768069041</v>
      </c>
      <c r="H66" s="396">
        <f>3.176*$I$52*$E$52/12/100</f>
        <v>13.476038662351675</v>
      </c>
      <c r="I66" s="396">
        <f>3.647*$I$52*$E$52/12/100</f>
        <v>15.474531801510247</v>
      </c>
      <c r="J66" s="396">
        <f>4.956*$I$52*$E$52/12/100</f>
        <v>21.028730355987058</v>
      </c>
      <c r="K66" s="396">
        <f>5.693*$I$52*$E$52/12/100</f>
        <v>24.155884163969798</v>
      </c>
      <c r="L66" s="396">
        <f>5.995*$I$52*$E$52/12/100</f>
        <v>25.437295900755124</v>
      </c>
      <c r="M66" s="396">
        <f>5.143*$I$52*$E$52/12/100</f>
        <v>21.822187292340885</v>
      </c>
      <c r="N66" s="396">
        <f>2.798*$I$52*$E$52/12/100</f>
        <v>11.872152448759442</v>
      </c>
      <c r="O66" s="394">
        <f>D52</f>
        <v>0.6</v>
      </c>
    </row>
    <row r="67" spans="1:15" ht="12.75">
      <c r="A67" s="376" t="s">
        <v>185</v>
      </c>
      <c r="B67" s="377" t="s">
        <v>355</v>
      </c>
      <c r="C67" s="378">
        <v>0.5</v>
      </c>
      <c r="D67" s="378">
        <v>0.75</v>
      </c>
      <c r="E67" s="378">
        <v>1.25</v>
      </c>
      <c r="F67" s="378">
        <v>2.5</v>
      </c>
      <c r="G67" s="378">
        <v>5</v>
      </c>
      <c r="H67" s="378">
        <v>7.5</v>
      </c>
      <c r="I67" s="378">
        <v>10</v>
      </c>
      <c r="J67" s="378">
        <v>20</v>
      </c>
      <c r="K67" s="378">
        <v>30</v>
      </c>
      <c r="L67" s="378">
        <v>40</v>
      </c>
      <c r="M67" s="378">
        <v>60</v>
      </c>
      <c r="N67" s="378">
        <v>80</v>
      </c>
      <c r="O67" s="379">
        <f>C53/I53*100</f>
        <v>98.90482085685734</v>
      </c>
    </row>
    <row r="68" spans="1:15" ht="14.25">
      <c r="A68" s="395" t="s">
        <v>36</v>
      </c>
      <c r="B68" s="373" t="s">
        <v>356</v>
      </c>
      <c r="C68" s="381">
        <f aca="true" t="shared" si="12" ref="C68:N68">$I$53*C67/100</f>
        <v>1.5064988613208679</v>
      </c>
      <c r="D68" s="381">
        <f t="shared" si="12"/>
        <v>2.259748291981302</v>
      </c>
      <c r="E68" s="381">
        <f t="shared" si="12"/>
        <v>3.766247153302169</v>
      </c>
      <c r="F68" s="381">
        <f t="shared" si="12"/>
        <v>7.532494306604338</v>
      </c>
      <c r="G68" s="381">
        <f t="shared" si="12"/>
        <v>15.064988613208676</v>
      </c>
      <c r="H68" s="381">
        <f t="shared" si="12"/>
        <v>22.597482919813014</v>
      </c>
      <c r="I68" s="381">
        <f t="shared" si="12"/>
        <v>30.129977226417353</v>
      </c>
      <c r="J68" s="381">
        <f t="shared" si="12"/>
        <v>60.259954452834705</v>
      </c>
      <c r="K68" s="381">
        <f t="shared" si="12"/>
        <v>90.38993167925206</v>
      </c>
      <c r="L68" s="381">
        <f t="shared" si="12"/>
        <v>120.51990890566941</v>
      </c>
      <c r="M68" s="381">
        <f t="shared" si="12"/>
        <v>180.77986335850412</v>
      </c>
      <c r="N68" s="381">
        <f t="shared" si="12"/>
        <v>241.03981781133882</v>
      </c>
      <c r="O68" s="382">
        <f>C53</f>
        <v>298</v>
      </c>
    </row>
    <row r="69" spans="1:15" ht="13.5" thickBot="1">
      <c r="A69" s="397"/>
      <c r="B69" s="384" t="s">
        <v>357</v>
      </c>
      <c r="C69" s="396">
        <f>0.913*$I$53*$E$53/12/100</f>
        <v>3.094725285868393</v>
      </c>
      <c r="D69" s="396">
        <f>1.106*$I$53*$E$53/12/100</f>
        <v>3.7489224163969794</v>
      </c>
      <c r="E69" s="396">
        <f>1.414*$I$53*$E$53/12/100</f>
        <v>4.79292612729234</v>
      </c>
      <c r="F69" s="396">
        <f>1.942*$I$53*$E$53/12/100</f>
        <v>6.582646774541533</v>
      </c>
      <c r="G69" s="396">
        <f>2.614*$I$53*$E$53/12/100</f>
        <v>8.860473052858683</v>
      </c>
      <c r="H69" s="396">
        <f>3.176*$I$53*$E$53/12/100</f>
        <v>10.765440862998922</v>
      </c>
      <c r="I69" s="396">
        <f>3.647*$I$53*$E$53/12/100</f>
        <v>12.361953031283711</v>
      </c>
      <c r="J69" s="396">
        <f>4.956*$I$53*$E$53/12/100</f>
        <v>16.798968802589</v>
      </c>
      <c r="K69" s="396">
        <f>5.693*$I$53*$E$53/12/100</f>
        <v>19.297120539374326</v>
      </c>
      <c r="L69" s="396">
        <f>5.995*$I$53*$E$53/12/100</f>
        <v>20.320786515641856</v>
      </c>
      <c r="M69" s="396">
        <f>5.143*$I$53*$E$53/12/100</f>
        <v>17.43282819848975</v>
      </c>
      <c r="N69" s="396">
        <f>2.798*$I$53*$E$53/12/100</f>
        <v>9.484163581445523</v>
      </c>
      <c r="O69" s="394">
        <f>D53</f>
        <v>0.6</v>
      </c>
    </row>
    <row r="70" spans="1:15" ht="12.75">
      <c r="A70" s="376" t="s">
        <v>185</v>
      </c>
      <c r="B70" s="377" t="s">
        <v>355</v>
      </c>
      <c r="C70" s="378">
        <v>0.5</v>
      </c>
      <c r="D70" s="378">
        <v>0.75</v>
      </c>
      <c r="E70" s="378">
        <v>1.25</v>
      </c>
      <c r="F70" s="378">
        <v>2.5</v>
      </c>
      <c r="G70" s="378">
        <v>5</v>
      </c>
      <c r="H70" s="378">
        <v>7.5</v>
      </c>
      <c r="I70" s="378">
        <v>10</v>
      </c>
      <c r="J70" s="378">
        <v>20</v>
      </c>
      <c r="K70" s="378">
        <v>30</v>
      </c>
      <c r="L70" s="378">
        <v>40</v>
      </c>
      <c r="M70" s="378">
        <v>60</v>
      </c>
      <c r="N70" s="378">
        <v>80</v>
      </c>
      <c r="O70" s="379">
        <f>C54/I54*100</f>
        <v>98.23443584489739</v>
      </c>
    </row>
    <row r="71" spans="1:15" ht="14.25">
      <c r="A71" s="395" t="s">
        <v>22</v>
      </c>
      <c r="B71" s="373" t="s">
        <v>356</v>
      </c>
      <c r="C71" s="381">
        <f aca="true" t="shared" si="13" ref="C71:N71">$I$54*C70/100</f>
        <v>0.9874337768188901</v>
      </c>
      <c r="D71" s="381">
        <f t="shared" si="13"/>
        <v>1.4811506652283353</v>
      </c>
      <c r="E71" s="381">
        <f t="shared" si="13"/>
        <v>2.4685844420472254</v>
      </c>
      <c r="F71" s="381">
        <f t="shared" si="13"/>
        <v>4.937168884094451</v>
      </c>
      <c r="G71" s="381">
        <f t="shared" si="13"/>
        <v>9.874337768188902</v>
      </c>
      <c r="H71" s="381">
        <f t="shared" si="13"/>
        <v>14.81150665228335</v>
      </c>
      <c r="I71" s="381">
        <f t="shared" si="13"/>
        <v>19.748675536377803</v>
      </c>
      <c r="J71" s="381">
        <f t="shared" si="13"/>
        <v>39.497351072755606</v>
      </c>
      <c r="K71" s="381">
        <f t="shared" si="13"/>
        <v>59.2460266091334</v>
      </c>
      <c r="L71" s="381">
        <f t="shared" si="13"/>
        <v>78.99470214551121</v>
      </c>
      <c r="M71" s="381">
        <f t="shared" si="13"/>
        <v>118.4920532182668</v>
      </c>
      <c r="N71" s="381">
        <f t="shared" si="13"/>
        <v>157.98940429102242</v>
      </c>
      <c r="O71" s="382">
        <f>C54</f>
        <v>194</v>
      </c>
    </row>
    <row r="72" spans="1:15" ht="13.5" thickBot="1">
      <c r="A72" s="397"/>
      <c r="B72" s="384" t="s">
        <v>357</v>
      </c>
      <c r="C72" s="396">
        <f>0.913*$I$54*$E$54/12/100</f>
        <v>2.0284358360302055</v>
      </c>
      <c r="D72" s="396">
        <f>1.106*$I$54*$E$54/12/100</f>
        <v>2.4572289536138086</v>
      </c>
      <c r="E72" s="396">
        <f>1.414*$I$54*$E$54/12/100</f>
        <v>3.1415205609492984</v>
      </c>
      <c r="F72" s="396">
        <f>1.942*$I$54*$E$54/12/100</f>
        <v>4.314591887810141</v>
      </c>
      <c r="G72" s="396">
        <f>2.614*$I$54*$E$54/12/100</f>
        <v>5.807591758360303</v>
      </c>
      <c r="H72" s="396">
        <f>3.176*$I$54*$E$54/12/100</f>
        <v>7.056201769147789</v>
      </c>
      <c r="I72" s="396">
        <f>3.647*$I$54*$E$54/12/100</f>
        <v>8.102634714131607</v>
      </c>
      <c r="J72" s="396">
        <f>4.956*$I$54*$E$54/12/100</f>
        <v>11.010874045307446</v>
      </c>
      <c r="K72" s="396">
        <f>5.693*$I$54*$E$54/12/100</f>
        <v>12.648286105717368</v>
      </c>
      <c r="L72" s="396">
        <f>5.995*$I$54*$E$54/12/100</f>
        <v>13.319247357065803</v>
      </c>
      <c r="M72" s="396">
        <f>5.143*$I$54*$E$54/12/100</f>
        <v>11.426336806903992</v>
      </c>
      <c r="N72" s="396">
        <f>2.798*$I$54*$E$54/12/100</f>
        <v>6.216389341963324</v>
      </c>
      <c r="O72" s="394">
        <f>D54</f>
        <v>0.6</v>
      </c>
    </row>
  </sheetData>
  <printOptions/>
  <pageMargins left="0.31496062992125984" right="0.3937007874015748" top="0.3937007874015748" bottom="0.6299212598425197" header="0.5118110236220472" footer="0.6299212598425197"/>
  <pageSetup horizontalDpi="360" verticalDpi="360" orientation="landscape" paperSize="9" r:id="rId2"/>
  <headerFooter alignWithMargins="0">
    <oddFooter>&amp;L&amp;F  &amp;A&amp;CPage &amp;P&amp;R&amp;D à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3" sqref="B3"/>
    </sheetView>
  </sheetViews>
  <sheetFormatPr defaultColWidth="12" defaultRowHeight="12.75"/>
  <cols>
    <col min="4" max="4" width="15.83203125" style="0" customWidth="1"/>
  </cols>
  <sheetData>
    <row r="1" ht="12.75">
      <c r="A1" t="s">
        <v>438</v>
      </c>
    </row>
    <row r="2" spans="4:12" ht="15.75">
      <c r="D2" s="72" t="s">
        <v>448</v>
      </c>
      <c r="E2" s="72" t="s">
        <v>442</v>
      </c>
      <c r="F2" s="72" t="s">
        <v>443</v>
      </c>
      <c r="G2" s="72" t="s">
        <v>356</v>
      </c>
      <c r="H2" s="72" t="s">
        <v>451</v>
      </c>
      <c r="I2" s="2" t="s">
        <v>452</v>
      </c>
      <c r="J2" s="72" t="s">
        <v>453</v>
      </c>
      <c r="K2" s="72" t="s">
        <v>454</v>
      </c>
      <c r="L2" s="72"/>
    </row>
    <row r="3" spans="1:12" ht="12.75">
      <c r="A3" t="s">
        <v>444</v>
      </c>
      <c r="B3" t="s">
        <v>439</v>
      </c>
      <c r="D3" s="483" t="s">
        <v>450</v>
      </c>
      <c r="E3" s="440"/>
      <c r="F3" s="440"/>
      <c r="G3" s="440"/>
      <c r="H3" s="440"/>
      <c r="I3" s="440"/>
      <c r="J3" s="440"/>
      <c r="K3" s="440"/>
      <c r="L3" s="440"/>
    </row>
    <row r="4" spans="1:12" ht="15.75">
      <c r="A4" t="s">
        <v>444</v>
      </c>
      <c r="B4" t="s">
        <v>440</v>
      </c>
      <c r="D4" s="483" t="s">
        <v>449</v>
      </c>
      <c r="E4" s="485">
        <f>J4/(G4*H4)</f>
        <v>0.6741</v>
      </c>
      <c r="F4" s="485">
        <f>K4/(G4*H4^3/12)</f>
        <v>0.46012569444444446</v>
      </c>
      <c r="G4" s="486">
        <v>1000</v>
      </c>
      <c r="H4" s="486">
        <v>120</v>
      </c>
      <c r="I4" s="486">
        <v>12</v>
      </c>
      <c r="J4" s="486">
        <f>80892</f>
        <v>80892</v>
      </c>
      <c r="K4" s="487">
        <f>66258100</f>
        <v>66258100</v>
      </c>
      <c r="L4" s="484"/>
    </row>
    <row r="5" spans="1:12" ht="15.75">
      <c r="A5" t="s">
        <v>444</v>
      </c>
      <c r="B5" t="s">
        <v>441</v>
      </c>
      <c r="D5" s="482"/>
      <c r="E5" s="42"/>
      <c r="F5" s="42"/>
      <c r="G5" s="42"/>
      <c r="H5" s="42"/>
      <c r="I5" s="42"/>
      <c r="J5" s="42"/>
      <c r="K5" s="42"/>
      <c r="L5" s="42"/>
    </row>
    <row r="6" spans="1:2" ht="15.75">
      <c r="A6" t="s">
        <v>445</v>
      </c>
      <c r="B6" t="s">
        <v>446</v>
      </c>
    </row>
    <row r="7" spans="1:2" ht="15.75">
      <c r="A7" t="s">
        <v>445</v>
      </c>
      <c r="B7" t="s">
        <v>447</v>
      </c>
    </row>
    <row r="8" spans="1:2" ht="15.75">
      <c r="A8" t="s">
        <v>445</v>
      </c>
      <c r="B8" t="s">
        <v>441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F16" sqref="F16"/>
    </sheetView>
  </sheetViews>
  <sheetFormatPr defaultColWidth="12" defaultRowHeight="12.75"/>
  <cols>
    <col min="1" max="1" width="13.83203125" style="441" customWidth="1"/>
    <col min="2" max="3" width="12" style="441" customWidth="1"/>
    <col min="4" max="4" width="9.5" style="441" customWidth="1"/>
    <col min="5" max="15" width="7.16015625" style="441" customWidth="1"/>
    <col min="16" max="16384" width="12" style="441" customWidth="1"/>
  </cols>
  <sheetData>
    <row r="1" ht="12.75">
      <c r="A1" s="441" t="s">
        <v>400</v>
      </c>
    </row>
    <row r="2" spans="1:2" ht="12.75">
      <c r="A2" s="442"/>
      <c r="B2" s="442"/>
    </row>
    <row r="3" spans="1:15" ht="14.25">
      <c r="A3" s="443"/>
      <c r="B3" s="443" t="s">
        <v>401</v>
      </c>
      <c r="D3" s="449"/>
      <c r="E3" s="450" t="s">
        <v>404</v>
      </c>
      <c r="F3" s="451"/>
      <c r="G3" s="451"/>
      <c r="H3" s="451"/>
      <c r="I3" s="451"/>
      <c r="J3" s="451"/>
      <c r="K3" s="451"/>
      <c r="L3" s="451"/>
      <c r="M3" s="451"/>
      <c r="N3" s="451"/>
      <c r="O3" s="452"/>
    </row>
    <row r="4" spans="1:15" ht="12.75">
      <c r="A4" s="444" t="s">
        <v>3</v>
      </c>
      <c r="B4" s="444" t="s">
        <v>402</v>
      </c>
      <c r="D4" s="453" t="s">
        <v>403</v>
      </c>
      <c r="E4" s="453">
        <v>4</v>
      </c>
      <c r="F4" s="453">
        <f aca="true" t="shared" si="0" ref="F4:N4">E4+2</f>
        <v>6</v>
      </c>
      <c r="G4" s="453">
        <f t="shared" si="0"/>
        <v>8</v>
      </c>
      <c r="H4" s="453">
        <f t="shared" si="0"/>
        <v>10</v>
      </c>
      <c r="I4" s="453">
        <f t="shared" si="0"/>
        <v>12</v>
      </c>
      <c r="J4" s="453">
        <f t="shared" si="0"/>
        <v>14</v>
      </c>
      <c r="K4" s="453">
        <f t="shared" si="0"/>
        <v>16</v>
      </c>
      <c r="L4" s="453">
        <f>K4+2</f>
        <v>18</v>
      </c>
      <c r="M4" s="453">
        <f t="shared" si="0"/>
        <v>20</v>
      </c>
      <c r="N4" s="453">
        <f t="shared" si="0"/>
        <v>22</v>
      </c>
      <c r="O4" s="453">
        <f>N4+2</f>
        <v>24</v>
      </c>
    </row>
    <row r="5" spans="1:15" ht="12.75">
      <c r="A5" s="445">
        <v>4</v>
      </c>
      <c r="B5" s="445">
        <f>A5*0.16</f>
        <v>0.64</v>
      </c>
      <c r="D5" s="447">
        <v>1</v>
      </c>
      <c r="E5" s="448">
        <f>0.16*E4</f>
        <v>0.64</v>
      </c>
      <c r="F5" s="448">
        <f aca="true" t="shared" si="1" ref="F5:O5">0.16*F4</f>
        <v>0.96</v>
      </c>
      <c r="G5" s="448">
        <f t="shared" si="1"/>
        <v>1.28</v>
      </c>
      <c r="H5" s="448">
        <f t="shared" si="1"/>
        <v>1.6</v>
      </c>
      <c r="I5" s="448">
        <f t="shared" si="1"/>
        <v>1.92</v>
      </c>
      <c r="J5" s="448">
        <f t="shared" si="1"/>
        <v>2.24</v>
      </c>
      <c r="K5" s="448">
        <f t="shared" si="1"/>
        <v>2.56</v>
      </c>
      <c r="L5" s="448">
        <f t="shared" si="1"/>
        <v>2.88</v>
      </c>
      <c r="M5" s="448">
        <f t="shared" si="1"/>
        <v>3.2</v>
      </c>
      <c r="N5" s="448">
        <f t="shared" si="1"/>
        <v>3.52</v>
      </c>
      <c r="O5" s="448">
        <f t="shared" si="1"/>
        <v>3.84</v>
      </c>
    </row>
    <row r="6" spans="1:15" ht="12.75">
      <c r="A6" s="445">
        <f>A5+2</f>
        <v>6</v>
      </c>
      <c r="B6" s="445">
        <f aca="true" t="shared" si="2" ref="B6:B15">A6*0.16</f>
        <v>0.96</v>
      </c>
      <c r="D6" s="445">
        <f>D5-0.2</f>
        <v>0.8</v>
      </c>
      <c r="E6" s="448">
        <f>E$5/$D6</f>
        <v>0.7999999999999999</v>
      </c>
      <c r="F6" s="448">
        <f aca="true" t="shared" si="3" ref="F6:O6">F$5/$D6</f>
        <v>1.2</v>
      </c>
      <c r="G6" s="448">
        <f t="shared" si="3"/>
        <v>1.5999999999999999</v>
      </c>
      <c r="H6" s="448">
        <f t="shared" si="3"/>
        <v>2</v>
      </c>
      <c r="I6" s="448">
        <f t="shared" si="3"/>
        <v>2.4</v>
      </c>
      <c r="J6" s="448">
        <f t="shared" si="3"/>
        <v>2.8000000000000003</v>
      </c>
      <c r="K6" s="448">
        <f t="shared" si="3"/>
        <v>3.1999999999999997</v>
      </c>
      <c r="L6" s="448">
        <f t="shared" si="3"/>
        <v>3.5999999999999996</v>
      </c>
      <c r="M6" s="448">
        <f t="shared" si="3"/>
        <v>4</v>
      </c>
      <c r="N6" s="448">
        <f t="shared" si="3"/>
        <v>4.3999999999999995</v>
      </c>
      <c r="O6" s="448">
        <f t="shared" si="3"/>
        <v>4.8</v>
      </c>
    </row>
    <row r="7" spans="1:15" ht="12.75">
      <c r="A7" s="445">
        <f aca="true" t="shared" si="4" ref="A7:A15">A6+2</f>
        <v>8</v>
      </c>
      <c r="B7" s="445">
        <f t="shared" si="2"/>
        <v>1.28</v>
      </c>
      <c r="D7" s="445">
        <f>D6-0.2</f>
        <v>0.6000000000000001</v>
      </c>
      <c r="E7" s="448">
        <f>E$5/$D7</f>
        <v>1.0666666666666664</v>
      </c>
      <c r="F7" s="448">
        <f aca="true" t="shared" si="5" ref="F7:O8">F$5/$D7</f>
        <v>1.5999999999999996</v>
      </c>
      <c r="G7" s="448">
        <f t="shared" si="5"/>
        <v>2.133333333333333</v>
      </c>
      <c r="H7" s="448">
        <f t="shared" si="5"/>
        <v>2.6666666666666665</v>
      </c>
      <c r="I7" s="448">
        <f t="shared" si="5"/>
        <v>3.1999999999999993</v>
      </c>
      <c r="J7" s="448">
        <f t="shared" si="5"/>
        <v>3.733333333333333</v>
      </c>
      <c r="K7" s="448">
        <f t="shared" si="5"/>
        <v>4.266666666666666</v>
      </c>
      <c r="L7" s="448">
        <f t="shared" si="5"/>
        <v>4.799999999999999</v>
      </c>
      <c r="M7" s="448">
        <f t="shared" si="5"/>
        <v>5.333333333333333</v>
      </c>
      <c r="N7" s="448">
        <f t="shared" si="5"/>
        <v>5.866666666666666</v>
      </c>
      <c r="O7" s="448">
        <f t="shared" si="5"/>
        <v>6.399999999999999</v>
      </c>
    </row>
    <row r="8" spans="1:15" ht="12.75">
      <c r="A8" s="445">
        <f t="shared" si="4"/>
        <v>10</v>
      </c>
      <c r="B8" s="445">
        <f t="shared" si="2"/>
        <v>1.6</v>
      </c>
      <c r="D8" s="445">
        <f>D7-0.2</f>
        <v>0.4000000000000001</v>
      </c>
      <c r="E8" s="448">
        <f>E$5/$D8</f>
        <v>1.5999999999999996</v>
      </c>
      <c r="F8" s="448">
        <f t="shared" si="5"/>
        <v>2.3999999999999995</v>
      </c>
      <c r="G8" s="448">
        <f t="shared" si="5"/>
        <v>3.1999999999999993</v>
      </c>
      <c r="H8" s="448">
        <f t="shared" si="5"/>
        <v>3.9999999999999996</v>
      </c>
      <c r="I8" s="448">
        <f t="shared" si="5"/>
        <v>4.799999999999999</v>
      </c>
      <c r="J8" s="448">
        <f t="shared" si="5"/>
        <v>5.6</v>
      </c>
      <c r="K8" s="448">
        <f t="shared" si="5"/>
        <v>6.399999999999999</v>
      </c>
      <c r="L8" s="448">
        <f t="shared" si="5"/>
        <v>7.199999999999998</v>
      </c>
      <c r="M8" s="448">
        <f t="shared" si="5"/>
        <v>7.999999999999999</v>
      </c>
      <c r="N8" s="448">
        <f t="shared" si="5"/>
        <v>8.799999999999999</v>
      </c>
      <c r="O8" s="448">
        <f t="shared" si="5"/>
        <v>9.599999999999998</v>
      </c>
    </row>
    <row r="9" spans="1:2" ht="12.75">
      <c r="A9" s="445">
        <f t="shared" si="4"/>
        <v>12</v>
      </c>
      <c r="B9" s="445">
        <f t="shared" si="2"/>
        <v>1.92</v>
      </c>
    </row>
    <row r="10" spans="1:2" ht="12.75">
      <c r="A10" s="445">
        <f t="shared" si="4"/>
        <v>14</v>
      </c>
      <c r="B10" s="445">
        <f t="shared" si="2"/>
        <v>2.24</v>
      </c>
    </row>
    <row r="11" spans="1:2" ht="12.75">
      <c r="A11" s="445">
        <f t="shared" si="4"/>
        <v>16</v>
      </c>
      <c r="B11" s="445">
        <f t="shared" si="2"/>
        <v>2.56</v>
      </c>
    </row>
    <row r="12" spans="1:2" ht="12.75">
      <c r="A12" s="445">
        <f t="shared" si="4"/>
        <v>18</v>
      </c>
      <c r="B12" s="445">
        <f t="shared" si="2"/>
        <v>2.88</v>
      </c>
    </row>
    <row r="13" spans="1:2" ht="12.75">
      <c r="A13" s="445">
        <f t="shared" si="4"/>
        <v>20</v>
      </c>
      <c r="B13" s="445">
        <f t="shared" si="2"/>
        <v>3.2</v>
      </c>
    </row>
    <row r="14" spans="1:2" ht="12.75">
      <c r="A14" s="445">
        <f t="shared" si="4"/>
        <v>22</v>
      </c>
      <c r="B14" s="445">
        <f t="shared" si="2"/>
        <v>3.52</v>
      </c>
    </row>
    <row r="15" spans="1:2" ht="12.75">
      <c r="A15" s="445">
        <f t="shared" si="4"/>
        <v>24</v>
      </c>
      <c r="B15" s="445">
        <f t="shared" si="2"/>
        <v>3.84</v>
      </c>
    </row>
    <row r="16" spans="1:2" ht="12.75">
      <c r="A16" s="445"/>
      <c r="B16" s="446"/>
    </row>
    <row r="17" spans="1:2" ht="12.75">
      <c r="A17" s="445"/>
      <c r="B17" s="446"/>
    </row>
    <row r="18" spans="1:2" ht="12.75">
      <c r="A18" s="445"/>
      <c r="B18" s="446"/>
    </row>
    <row r="19" spans="1:2" ht="12.75">
      <c r="A19" s="445"/>
      <c r="B19" s="446"/>
    </row>
    <row r="20" spans="1:2" ht="12.75">
      <c r="A20" s="446"/>
      <c r="B20" s="446"/>
    </row>
    <row r="21" spans="1:2" ht="12.75">
      <c r="A21" s="446"/>
      <c r="B21" s="446"/>
    </row>
    <row r="22" spans="1:2" ht="12.75">
      <c r="A22" s="446"/>
      <c r="B22" s="446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C1">
      <selection activeCell="K27" sqref="K27:M31"/>
    </sheetView>
  </sheetViews>
  <sheetFormatPr defaultColWidth="12" defaultRowHeight="12.75"/>
  <cols>
    <col min="1" max="1" width="10.5" style="454" customWidth="1"/>
    <col min="2" max="9" width="12" style="454" customWidth="1"/>
    <col min="10" max="10" width="4.66015625" style="454" customWidth="1"/>
    <col min="11" max="11" width="13.66015625" style="454" customWidth="1"/>
    <col min="12" max="12" width="12" style="454" customWidth="1"/>
    <col min="13" max="13" width="15.5" style="454" customWidth="1"/>
    <col min="14" max="14" width="13.66015625" style="454" customWidth="1"/>
    <col min="15" max="16384" width="12" style="454" customWidth="1"/>
  </cols>
  <sheetData>
    <row r="1" spans="2:9" ht="12.75">
      <c r="B1" s="455" t="s">
        <v>408</v>
      </c>
      <c r="C1" s="456"/>
      <c r="D1" s="457"/>
      <c r="E1" s="455" t="s">
        <v>409</v>
      </c>
      <c r="F1" s="456"/>
      <c r="G1" s="457"/>
      <c r="H1" s="464" t="s">
        <v>401</v>
      </c>
      <c r="I1" s="464" t="s">
        <v>414</v>
      </c>
    </row>
    <row r="2" spans="1:9" ht="12.75">
      <c r="A2" s="458" t="s">
        <v>18</v>
      </c>
      <c r="B2" s="458" t="s">
        <v>411</v>
      </c>
      <c r="C2" s="458" t="s">
        <v>406</v>
      </c>
      <c r="D2" s="458" t="s">
        <v>412</v>
      </c>
      <c r="E2" s="458" t="s">
        <v>411</v>
      </c>
      <c r="F2" s="458" t="s">
        <v>406</v>
      </c>
      <c r="G2" s="458" t="s">
        <v>412</v>
      </c>
      <c r="H2" s="465" t="s">
        <v>413</v>
      </c>
      <c r="I2" s="465" t="s">
        <v>413</v>
      </c>
    </row>
    <row r="3" spans="1:9" ht="15.75">
      <c r="A3" s="459" t="s">
        <v>405</v>
      </c>
      <c r="B3" s="459" t="s">
        <v>410</v>
      </c>
      <c r="C3" s="459" t="s">
        <v>407</v>
      </c>
      <c r="D3" s="459"/>
      <c r="E3" s="459" t="s">
        <v>410</v>
      </c>
      <c r="F3" s="459" t="s">
        <v>407</v>
      </c>
      <c r="G3" s="459"/>
      <c r="H3" s="465" t="s">
        <v>415</v>
      </c>
      <c r="I3" s="465" t="s">
        <v>415</v>
      </c>
    </row>
    <row r="4" spans="1:9" ht="12.75">
      <c r="A4" s="460" t="s">
        <v>21</v>
      </c>
      <c r="B4" s="460" t="s">
        <v>21</v>
      </c>
      <c r="C4" s="460" t="s">
        <v>21</v>
      </c>
      <c r="D4" s="460" t="s">
        <v>191</v>
      </c>
      <c r="E4" s="460" t="s">
        <v>21</v>
      </c>
      <c r="F4" s="460" t="s">
        <v>21</v>
      </c>
      <c r="G4" s="460" t="s">
        <v>191</v>
      </c>
      <c r="H4" s="466" t="s">
        <v>7</v>
      </c>
      <c r="I4" s="466" t="s">
        <v>7</v>
      </c>
    </row>
    <row r="5" spans="1:9" ht="12.75">
      <c r="A5" s="468">
        <v>12</v>
      </c>
      <c r="B5" s="469">
        <v>1.75</v>
      </c>
      <c r="C5" s="469">
        <f aca="true" t="shared" si="0" ref="C5:C13">A5-1.2268*B5</f>
        <v>9.853100000000001</v>
      </c>
      <c r="D5" s="470">
        <f>PI()*C5^2/4</f>
        <v>76.24926512174397</v>
      </c>
      <c r="E5" s="470">
        <v>1.5</v>
      </c>
      <c r="F5" s="469">
        <f aca="true" t="shared" si="1" ref="F5:F13">A5-1.2268*E5</f>
        <v>10.1598</v>
      </c>
      <c r="G5" s="470">
        <f>PI()*F5^2/4</f>
        <v>81.07000482887953</v>
      </c>
      <c r="H5" s="471">
        <f>C5/A5</f>
        <v>0.8210916666666668</v>
      </c>
      <c r="I5" s="471">
        <f>F5/A5</f>
        <v>0.84665</v>
      </c>
    </row>
    <row r="6" spans="1:9" ht="12.75">
      <c r="A6" s="461">
        <v>14</v>
      </c>
      <c r="B6" s="462">
        <v>2</v>
      </c>
      <c r="C6" s="462">
        <f t="shared" si="0"/>
        <v>11.5464</v>
      </c>
      <c r="D6" s="463">
        <f aca="true" t="shared" si="2" ref="D6:D23">PI()*C6^2/4</f>
        <v>104.70877496012017</v>
      </c>
      <c r="E6" s="463">
        <v>1.5</v>
      </c>
      <c r="F6" s="462">
        <f t="shared" si="1"/>
        <v>12.1598</v>
      </c>
      <c r="G6" s="463">
        <f aca="true" t="shared" si="3" ref="G6:G23">PI()*F6^2/4</f>
        <v>116.12955052441089</v>
      </c>
      <c r="H6" s="467">
        <f aca="true" t="shared" si="4" ref="H6:H13">C6/A6</f>
        <v>0.8247428571428571</v>
      </c>
      <c r="I6" s="467">
        <f aca="true" t="shared" si="5" ref="I6:I13">F6/A6</f>
        <v>0.8685571428571429</v>
      </c>
    </row>
    <row r="7" spans="1:9" ht="12.75">
      <c r="A7" s="468">
        <v>16</v>
      </c>
      <c r="B7" s="469">
        <v>2</v>
      </c>
      <c r="C7" s="469">
        <f t="shared" si="0"/>
        <v>13.5464</v>
      </c>
      <c r="D7" s="470">
        <f t="shared" si="2"/>
        <v>144.12445302911914</v>
      </c>
      <c r="E7" s="470">
        <v>1.5</v>
      </c>
      <c r="F7" s="469">
        <f t="shared" si="1"/>
        <v>14.1598</v>
      </c>
      <c r="G7" s="470">
        <f t="shared" si="3"/>
        <v>157.47228152712188</v>
      </c>
      <c r="H7" s="471">
        <f t="shared" si="4"/>
        <v>0.84665</v>
      </c>
      <c r="I7" s="471">
        <f t="shared" si="5"/>
        <v>0.8849875</v>
      </c>
    </row>
    <row r="8" spans="1:9" ht="12.75">
      <c r="A8" s="461">
        <v>18</v>
      </c>
      <c r="B8" s="462">
        <v>2.5</v>
      </c>
      <c r="C8" s="462">
        <f t="shared" si="0"/>
        <v>14.933</v>
      </c>
      <c r="D8" s="463">
        <f t="shared" si="2"/>
        <v>175.13946210835246</v>
      </c>
      <c r="E8" s="463">
        <v>1.5</v>
      </c>
      <c r="F8" s="462">
        <f t="shared" si="1"/>
        <v>16.1598</v>
      </c>
      <c r="G8" s="463">
        <f t="shared" si="3"/>
        <v>205.09819783701244</v>
      </c>
      <c r="H8" s="467">
        <f t="shared" si="4"/>
        <v>0.8296111111111111</v>
      </c>
      <c r="I8" s="467">
        <f t="shared" si="5"/>
        <v>0.8977666666666667</v>
      </c>
    </row>
    <row r="9" spans="1:9" ht="12.75">
      <c r="A9" s="468">
        <v>20</v>
      </c>
      <c r="B9" s="469">
        <v>2.5</v>
      </c>
      <c r="C9" s="469">
        <f t="shared" si="0"/>
        <v>16.933</v>
      </c>
      <c r="D9" s="470">
        <f t="shared" si="2"/>
        <v>225.19445785799866</v>
      </c>
      <c r="E9" s="470">
        <v>1.5</v>
      </c>
      <c r="F9" s="469">
        <f t="shared" si="1"/>
        <v>18.1598</v>
      </c>
      <c r="G9" s="470">
        <f t="shared" si="3"/>
        <v>259.0072994540825</v>
      </c>
      <c r="H9" s="471">
        <f t="shared" si="4"/>
        <v>0.84665</v>
      </c>
      <c r="I9" s="471">
        <f t="shared" si="5"/>
        <v>0.9079900000000001</v>
      </c>
    </row>
    <row r="10" spans="1:9" ht="12.75">
      <c r="A10" s="461">
        <v>22</v>
      </c>
      <c r="B10" s="462">
        <v>2.5</v>
      </c>
      <c r="C10" s="462">
        <f t="shared" si="0"/>
        <v>18.933</v>
      </c>
      <c r="D10" s="463">
        <f t="shared" si="2"/>
        <v>281.5326389148244</v>
      </c>
      <c r="E10" s="463">
        <v>1.5</v>
      </c>
      <c r="F10" s="462">
        <f t="shared" si="1"/>
        <v>20.1598</v>
      </c>
      <c r="G10" s="463">
        <f t="shared" si="3"/>
        <v>319.19958637833224</v>
      </c>
      <c r="H10" s="467">
        <f t="shared" si="4"/>
        <v>0.8605909090909091</v>
      </c>
      <c r="I10" s="467">
        <f t="shared" si="5"/>
        <v>0.9163545454545455</v>
      </c>
    </row>
    <row r="11" spans="1:9" ht="12.75">
      <c r="A11" s="468">
        <v>24</v>
      </c>
      <c r="B11" s="469">
        <v>3</v>
      </c>
      <c r="C11" s="469">
        <f t="shared" si="0"/>
        <v>20.3196</v>
      </c>
      <c r="D11" s="470">
        <f t="shared" si="2"/>
        <v>324.28001931551813</v>
      </c>
      <c r="E11" s="470">
        <v>1.5</v>
      </c>
      <c r="F11" s="469">
        <f t="shared" si="1"/>
        <v>22.1598</v>
      </c>
      <c r="G11" s="470">
        <f t="shared" si="3"/>
        <v>385.67505860976155</v>
      </c>
      <c r="H11" s="471">
        <f t="shared" si="4"/>
        <v>0.84665</v>
      </c>
      <c r="I11" s="471">
        <f t="shared" si="5"/>
        <v>0.9233250000000001</v>
      </c>
    </row>
    <row r="12" spans="1:9" ht="12.75">
      <c r="A12" s="461">
        <v>27</v>
      </c>
      <c r="B12" s="462">
        <v>3</v>
      </c>
      <c r="C12" s="462">
        <f t="shared" si="0"/>
        <v>23.3196</v>
      </c>
      <c r="D12" s="463">
        <f t="shared" si="2"/>
        <v>427.1024619119199</v>
      </c>
      <c r="E12" s="463">
        <v>1.5</v>
      </c>
      <c r="F12" s="462">
        <f t="shared" si="1"/>
        <v>25.1598</v>
      </c>
      <c r="G12" s="463">
        <f t="shared" si="3"/>
        <v>497.1692394078673</v>
      </c>
      <c r="H12" s="467">
        <f t="shared" si="4"/>
        <v>0.863688888888889</v>
      </c>
      <c r="I12" s="467">
        <f t="shared" si="5"/>
        <v>0.9318444444444445</v>
      </c>
    </row>
    <row r="13" spans="1:9" ht="12.75">
      <c r="A13" s="468">
        <v>30</v>
      </c>
      <c r="B13" s="469">
        <v>3.5</v>
      </c>
      <c r="C13" s="469">
        <f t="shared" si="0"/>
        <v>25.706200000000003</v>
      </c>
      <c r="D13" s="470">
        <f t="shared" si="2"/>
        <v>518.9979538197977</v>
      </c>
      <c r="E13" s="470">
        <v>2</v>
      </c>
      <c r="F13" s="469">
        <f t="shared" si="1"/>
        <v>27.5464</v>
      </c>
      <c r="G13" s="470">
        <f t="shared" si="3"/>
        <v>595.9633881131404</v>
      </c>
      <c r="H13" s="471">
        <f t="shared" si="4"/>
        <v>0.8568733333333334</v>
      </c>
      <c r="I13" s="471">
        <f t="shared" si="5"/>
        <v>0.9182133333333333</v>
      </c>
    </row>
    <row r="14" spans="1:9" ht="12.75">
      <c r="A14" s="461">
        <v>33</v>
      </c>
      <c r="B14" s="462">
        <v>3.5</v>
      </c>
      <c r="C14" s="462">
        <f>A14-1.2268*B14</f>
        <v>28.706200000000003</v>
      </c>
      <c r="D14" s="463">
        <f t="shared" si="2"/>
        <v>647.2041508979396</v>
      </c>
      <c r="E14" s="463">
        <v>3</v>
      </c>
      <c r="F14" s="462">
        <f>A14-1.2268*E14</f>
        <v>29.3196</v>
      </c>
      <c r="G14" s="463">
        <f t="shared" si="3"/>
        <v>675.1588479281857</v>
      </c>
      <c r="H14" s="467">
        <f>C14/A14</f>
        <v>0.8698848484848486</v>
      </c>
      <c r="I14" s="467">
        <f>F14/A14</f>
        <v>0.8884727272727273</v>
      </c>
    </row>
    <row r="15" spans="1:9" ht="12.75">
      <c r="A15" s="468">
        <v>36</v>
      </c>
      <c r="B15" s="469">
        <v>4</v>
      </c>
      <c r="C15" s="469">
        <f aca="true" t="shared" si="6" ref="C15:C21">A15-1.2268*B15</f>
        <v>31.0928</v>
      </c>
      <c r="D15" s="470">
        <f t="shared" si="2"/>
        <v>759.2932656211909</v>
      </c>
      <c r="E15" s="470">
        <v>3</v>
      </c>
      <c r="F15" s="469">
        <f aca="true" t="shared" si="7" ref="F15:F21">A15-1.2268*E15</f>
        <v>32.3196</v>
      </c>
      <c r="G15" s="470">
        <f t="shared" si="3"/>
        <v>820.3927913480497</v>
      </c>
      <c r="H15" s="471">
        <f aca="true" t="shared" si="8" ref="H15:H21">C15/A15</f>
        <v>0.863688888888889</v>
      </c>
      <c r="I15" s="471">
        <f aca="true" t="shared" si="9" ref="I15:I21">F15/A15</f>
        <v>0.8977666666666667</v>
      </c>
    </row>
    <row r="16" spans="1:9" ht="12.75">
      <c r="A16" s="461">
        <v>39</v>
      </c>
      <c r="B16" s="462">
        <v>4</v>
      </c>
      <c r="C16" s="462">
        <f t="shared" si="6"/>
        <v>34.0928</v>
      </c>
      <c r="D16" s="463">
        <f t="shared" si="2"/>
        <v>912.8832171810728</v>
      </c>
      <c r="E16" s="463">
        <v>3</v>
      </c>
      <c r="F16" s="462">
        <f t="shared" si="7"/>
        <v>35.3196</v>
      </c>
      <c r="G16" s="463">
        <f t="shared" si="3"/>
        <v>979.7639017090678</v>
      </c>
      <c r="H16" s="467">
        <f t="shared" si="8"/>
        <v>0.8741743589743589</v>
      </c>
      <c r="I16" s="467">
        <f t="shared" si="9"/>
        <v>0.9056307692307692</v>
      </c>
    </row>
    <row r="17" spans="1:9" ht="12.75">
      <c r="A17" s="468">
        <v>42</v>
      </c>
      <c r="B17" s="469">
        <v>4.5</v>
      </c>
      <c r="C17" s="469">
        <f t="shared" si="6"/>
        <v>36.4794</v>
      </c>
      <c r="D17" s="470">
        <f t="shared" si="2"/>
        <v>1045.165954719698</v>
      </c>
      <c r="E17" s="470">
        <v>4</v>
      </c>
      <c r="F17" s="469">
        <f t="shared" si="7"/>
        <v>37.0928</v>
      </c>
      <c r="G17" s="470">
        <f t="shared" si="3"/>
        <v>1080.610335682109</v>
      </c>
      <c r="H17" s="471">
        <f t="shared" si="8"/>
        <v>0.8685571428571428</v>
      </c>
      <c r="I17" s="471">
        <f t="shared" si="9"/>
        <v>0.8831619047619047</v>
      </c>
    </row>
    <row r="18" spans="1:9" ht="12.75">
      <c r="A18" s="461">
        <v>45</v>
      </c>
      <c r="B18" s="462">
        <v>4.5</v>
      </c>
      <c r="C18" s="462">
        <f t="shared" si="6"/>
        <v>39.4794</v>
      </c>
      <c r="D18" s="463">
        <f t="shared" si="2"/>
        <v>1224.13966076132</v>
      </c>
      <c r="E18" s="463">
        <v>4</v>
      </c>
      <c r="F18" s="462">
        <f t="shared" si="7"/>
        <v>40.0928</v>
      </c>
      <c r="G18" s="463">
        <f t="shared" si="3"/>
        <v>1262.4746211242991</v>
      </c>
      <c r="H18" s="467">
        <f t="shared" si="8"/>
        <v>0.87732</v>
      </c>
      <c r="I18" s="467">
        <f t="shared" si="9"/>
        <v>0.890951111111111</v>
      </c>
    </row>
    <row r="19" spans="1:9" ht="12.75">
      <c r="A19" s="468">
        <v>48</v>
      </c>
      <c r="B19" s="469">
        <v>5</v>
      </c>
      <c r="C19" s="469">
        <f t="shared" si="6"/>
        <v>41.866</v>
      </c>
      <c r="D19" s="470">
        <f t="shared" si="2"/>
        <v>1376.6160211153192</v>
      </c>
      <c r="E19" s="470">
        <v>4</v>
      </c>
      <c r="F19" s="469">
        <f t="shared" si="7"/>
        <v>43.0928</v>
      </c>
      <c r="G19" s="470">
        <f t="shared" si="3"/>
        <v>1458.4760735076436</v>
      </c>
      <c r="H19" s="471">
        <f t="shared" si="8"/>
        <v>0.8722083333333334</v>
      </c>
      <c r="I19" s="471">
        <f t="shared" si="9"/>
        <v>0.8977666666666666</v>
      </c>
    </row>
    <row r="20" spans="1:9" ht="12.75">
      <c r="A20" s="461">
        <v>52</v>
      </c>
      <c r="B20" s="462">
        <v>5</v>
      </c>
      <c r="C20" s="462">
        <f t="shared" si="6"/>
        <v>45.866</v>
      </c>
      <c r="D20" s="463">
        <f t="shared" si="2"/>
        <v>1652.234227800059</v>
      </c>
      <c r="E20" s="463">
        <v>4</v>
      </c>
      <c r="F20" s="462">
        <f t="shared" si="7"/>
        <v>47.0928</v>
      </c>
      <c r="G20" s="463">
        <f t="shared" si="3"/>
        <v>1741.8024919272311</v>
      </c>
      <c r="H20" s="467">
        <f t="shared" si="8"/>
        <v>0.8820384615384615</v>
      </c>
      <c r="I20" s="467">
        <f t="shared" si="9"/>
        <v>0.9056307692307691</v>
      </c>
    </row>
    <row r="21" spans="1:9" ht="12.75">
      <c r="A21" s="468">
        <v>56</v>
      </c>
      <c r="B21" s="469">
        <v>5.5</v>
      </c>
      <c r="C21" s="469">
        <f t="shared" si="6"/>
        <v>49.2526</v>
      </c>
      <c r="D21" s="470">
        <f t="shared" si="2"/>
        <v>1905.2334784846607</v>
      </c>
      <c r="E21" s="470">
        <v>4</v>
      </c>
      <c r="F21" s="469">
        <f t="shared" si="7"/>
        <v>51.0928</v>
      </c>
      <c r="G21" s="470">
        <f t="shared" si="3"/>
        <v>2050.261651575537</v>
      </c>
      <c r="H21" s="471">
        <f t="shared" si="8"/>
        <v>0.8795107142857143</v>
      </c>
      <c r="I21" s="471">
        <f t="shared" si="9"/>
        <v>0.9123714285714285</v>
      </c>
    </row>
    <row r="22" spans="1:9" ht="12.75">
      <c r="A22" s="461">
        <v>60</v>
      </c>
      <c r="B22" s="462">
        <v>5.5</v>
      </c>
      <c r="C22" s="462">
        <f>A22-1.2268*B22</f>
        <v>53.2526</v>
      </c>
      <c r="D22" s="463">
        <f t="shared" si="2"/>
        <v>2227.2630617594136</v>
      </c>
      <c r="E22" s="463">
        <v>4</v>
      </c>
      <c r="F22" s="462">
        <f>A22-1.2268*E22</f>
        <v>55.0928</v>
      </c>
      <c r="G22" s="463">
        <f t="shared" si="3"/>
        <v>2383.8535524525614</v>
      </c>
      <c r="H22" s="467">
        <f>C22/A22</f>
        <v>0.8875433333333334</v>
      </c>
      <c r="I22" s="467">
        <f>F22/A22</f>
        <v>0.9182133333333333</v>
      </c>
    </row>
    <row r="23" spans="1:9" ht="12.75">
      <c r="A23" s="468">
        <v>64</v>
      </c>
      <c r="B23" s="469">
        <v>6</v>
      </c>
      <c r="C23" s="469">
        <f>A23-1.2268*B23</f>
        <v>56.6392</v>
      </c>
      <c r="D23" s="470">
        <f t="shared" si="2"/>
        <v>2519.55650443395</v>
      </c>
      <c r="E23" s="470">
        <v>4</v>
      </c>
      <c r="F23" s="469">
        <f>A23-1.2268*E23</f>
        <v>59.0928</v>
      </c>
      <c r="G23" s="470">
        <f t="shared" si="3"/>
        <v>2742.578194558304</v>
      </c>
      <c r="H23" s="471">
        <f>C23/A23</f>
        <v>0.8849875</v>
      </c>
      <c r="I23" s="471">
        <f>F23/A23</f>
        <v>0.923325</v>
      </c>
    </row>
    <row r="25" ht="12.75">
      <c r="K25" s="454" t="s">
        <v>461</v>
      </c>
    </row>
    <row r="26" ht="12.75">
      <c r="A26" s="454" t="s">
        <v>427</v>
      </c>
    </row>
    <row r="27" spans="3:14" ht="12.75">
      <c r="C27" s="455" t="s">
        <v>428</v>
      </c>
      <c r="D27" s="456"/>
      <c r="E27" s="456"/>
      <c r="F27" s="456"/>
      <c r="G27" s="456"/>
      <c r="H27" s="456"/>
      <c r="I27" s="457"/>
      <c r="K27" s="488" t="s">
        <v>459</v>
      </c>
      <c r="L27" s="488" t="s">
        <v>458</v>
      </c>
      <c r="M27" s="488" t="s">
        <v>462</v>
      </c>
      <c r="N27" s="488" t="s">
        <v>465</v>
      </c>
    </row>
    <row r="28" spans="3:14" ht="12.75">
      <c r="C28" s="478" t="s">
        <v>422</v>
      </c>
      <c r="D28" s="478" t="s">
        <v>417</v>
      </c>
      <c r="E28" s="478" t="s">
        <v>418</v>
      </c>
      <c r="F28" s="478" t="s">
        <v>419</v>
      </c>
      <c r="G28" s="478" t="s">
        <v>420</v>
      </c>
      <c r="H28" s="478" t="s">
        <v>421</v>
      </c>
      <c r="I28" s="478" t="s">
        <v>423</v>
      </c>
      <c r="K28" s="488" t="s">
        <v>455</v>
      </c>
      <c r="L28" s="488">
        <v>303</v>
      </c>
      <c r="M28" s="488" t="s">
        <v>463</v>
      </c>
      <c r="N28" s="488"/>
    </row>
    <row r="29" spans="1:14" ht="12.75">
      <c r="A29" s="480" t="s">
        <v>424</v>
      </c>
      <c r="B29" s="479" t="s">
        <v>394</v>
      </c>
      <c r="C29" s="479">
        <v>400</v>
      </c>
      <c r="D29" s="479">
        <v>500</v>
      </c>
      <c r="E29" s="479">
        <v>500</v>
      </c>
      <c r="F29" s="479">
        <v>600</v>
      </c>
      <c r="G29" s="479">
        <v>800</v>
      </c>
      <c r="H29" s="479">
        <v>1000</v>
      </c>
      <c r="I29" s="479">
        <v>1200</v>
      </c>
      <c r="K29" s="488" t="s">
        <v>456</v>
      </c>
      <c r="L29" s="488">
        <v>304</v>
      </c>
      <c r="M29" s="488" t="s">
        <v>463</v>
      </c>
      <c r="N29" s="488"/>
    </row>
    <row r="30" spans="1:14" ht="12.75">
      <c r="A30" s="480" t="s">
        <v>426</v>
      </c>
      <c r="B30" s="479" t="s">
        <v>394</v>
      </c>
      <c r="C30" s="479">
        <v>320</v>
      </c>
      <c r="D30" s="479">
        <v>300</v>
      </c>
      <c r="E30" s="479">
        <v>400</v>
      </c>
      <c r="F30" s="479">
        <v>480</v>
      </c>
      <c r="G30" s="479">
        <v>640</v>
      </c>
      <c r="H30" s="479">
        <v>900</v>
      </c>
      <c r="I30" s="479">
        <v>1080</v>
      </c>
      <c r="K30" s="488" t="s">
        <v>457</v>
      </c>
      <c r="L30" s="488">
        <v>316</v>
      </c>
      <c r="M30" s="488" t="s">
        <v>463</v>
      </c>
      <c r="N30" s="488"/>
    </row>
    <row r="31" spans="1:14" ht="12.75">
      <c r="A31" s="480" t="s">
        <v>425</v>
      </c>
      <c r="B31" s="479" t="s">
        <v>394</v>
      </c>
      <c r="C31" s="479">
        <f>MIN(C29*0.5,C30*0.9)</f>
        <v>200</v>
      </c>
      <c r="D31" s="479">
        <f aca="true" t="shared" si="10" ref="D31:I31">MIN(D29*0.5,D30*0.9)</f>
        <v>250</v>
      </c>
      <c r="E31" s="479">
        <f t="shared" si="10"/>
        <v>250</v>
      </c>
      <c r="F31" s="479">
        <f t="shared" si="10"/>
        <v>300</v>
      </c>
      <c r="G31" s="479">
        <f t="shared" si="10"/>
        <v>400</v>
      </c>
      <c r="H31" s="479">
        <f t="shared" si="10"/>
        <v>500</v>
      </c>
      <c r="I31" s="479">
        <f t="shared" si="10"/>
        <v>600</v>
      </c>
      <c r="K31" s="488" t="s">
        <v>537</v>
      </c>
      <c r="L31" s="488" t="s">
        <v>460</v>
      </c>
      <c r="M31" s="488" t="s">
        <v>464</v>
      </c>
      <c r="N31" s="488"/>
    </row>
    <row r="33" ht="12.75">
      <c r="A33" s="454" t="s">
        <v>429</v>
      </c>
    </row>
    <row r="34" spans="2:9" ht="12.75">
      <c r="B34" s="455" t="s">
        <v>436</v>
      </c>
      <c r="C34" s="456"/>
      <c r="D34" s="456"/>
      <c r="E34" s="456"/>
      <c r="F34" s="456"/>
      <c r="G34" s="456"/>
      <c r="H34" s="456"/>
      <c r="I34" s="457"/>
    </row>
    <row r="35" spans="2:9" ht="12.75">
      <c r="B35" s="479" t="s">
        <v>416</v>
      </c>
      <c r="C35" s="478" t="s">
        <v>430</v>
      </c>
      <c r="D35" s="478" t="s">
        <v>431</v>
      </c>
      <c r="E35" s="478" t="s">
        <v>432</v>
      </c>
      <c r="F35" s="478" t="s">
        <v>433</v>
      </c>
      <c r="G35" s="478" t="s">
        <v>434</v>
      </c>
      <c r="H35" s="478" t="s">
        <v>435</v>
      </c>
      <c r="I35" s="478" t="s">
        <v>437</v>
      </c>
    </row>
    <row r="36" spans="1:9" ht="12.75">
      <c r="A36" s="481"/>
      <c r="B36" s="479" t="s">
        <v>417</v>
      </c>
      <c r="C36" s="479">
        <v>36</v>
      </c>
      <c r="D36" s="479">
        <v>88</v>
      </c>
      <c r="E36" s="479">
        <v>171</v>
      </c>
      <c r="F36" s="479">
        <v>295</v>
      </c>
      <c r="G36" s="479">
        <v>590</v>
      </c>
      <c r="H36" s="479">
        <v>1030</v>
      </c>
      <c r="I36" s="479">
        <v>1720</v>
      </c>
    </row>
    <row r="37" spans="1:9" ht="12.75">
      <c r="A37" s="481"/>
      <c r="B37" s="479" t="s">
        <v>420</v>
      </c>
      <c r="C37" s="479">
        <v>83</v>
      </c>
      <c r="D37" s="479">
        <v>200</v>
      </c>
      <c r="E37" s="479">
        <v>390</v>
      </c>
      <c r="F37" s="479">
        <v>675</v>
      </c>
      <c r="G37" s="479">
        <v>1350</v>
      </c>
      <c r="H37" s="479">
        <v>2360</v>
      </c>
      <c r="I37" s="479">
        <v>3640</v>
      </c>
    </row>
    <row r="38" spans="1:9" ht="12.75">
      <c r="A38" s="481"/>
      <c r="B38" s="479" t="s">
        <v>421</v>
      </c>
      <c r="C38" s="479">
        <v>117</v>
      </c>
      <c r="D38" s="479">
        <v>285</v>
      </c>
      <c r="E38" s="479">
        <v>550</v>
      </c>
      <c r="F38" s="479">
        <v>960</v>
      </c>
      <c r="G38" s="479">
        <v>1900</v>
      </c>
      <c r="H38" s="479">
        <v>3310</v>
      </c>
      <c r="I38" s="479">
        <v>5090</v>
      </c>
    </row>
    <row r="39" spans="2:9" ht="12.75">
      <c r="B39" s="479" t="s">
        <v>423</v>
      </c>
      <c r="C39" s="479">
        <v>140</v>
      </c>
      <c r="D39" s="479">
        <v>340</v>
      </c>
      <c r="E39" s="479">
        <v>660</v>
      </c>
      <c r="F39" s="479">
        <v>1140</v>
      </c>
      <c r="G39" s="479">
        <v>2280</v>
      </c>
      <c r="H39" s="479">
        <v>3980</v>
      </c>
      <c r="I39" s="479">
        <v>6120</v>
      </c>
    </row>
    <row r="42" spans="3:5" ht="12.75">
      <c r="C42" s="455" t="s">
        <v>466</v>
      </c>
      <c r="D42" s="456"/>
      <c r="E42" s="456"/>
    </row>
    <row r="43" spans="3:5" ht="12.75">
      <c r="C43" s="455" t="s">
        <v>470</v>
      </c>
      <c r="D43" s="456"/>
      <c r="E43" s="457"/>
    </row>
    <row r="44" spans="3:5" ht="12.75">
      <c r="C44" s="478" t="s">
        <v>467</v>
      </c>
      <c r="D44" s="478" t="s">
        <v>468</v>
      </c>
      <c r="E44" s="478" t="s">
        <v>469</v>
      </c>
    </row>
    <row r="45" spans="1:5" ht="12.75">
      <c r="A45" s="480" t="s">
        <v>424</v>
      </c>
      <c r="B45" s="479" t="s">
        <v>394</v>
      </c>
      <c r="C45" s="479">
        <v>500</v>
      </c>
      <c r="D45" s="479">
        <v>700</v>
      </c>
      <c r="E45" s="479">
        <v>800</v>
      </c>
    </row>
    <row r="46" spans="1:5" ht="12.75">
      <c r="A46" s="480" t="s">
        <v>425</v>
      </c>
      <c r="B46" s="479" t="s">
        <v>394</v>
      </c>
      <c r="C46" s="479">
        <f>C45*0.5</f>
        <v>250</v>
      </c>
      <c r="D46" s="479">
        <f>D45*0.5</f>
        <v>350</v>
      </c>
      <c r="E46" s="479">
        <f>E45*0.5</f>
        <v>400</v>
      </c>
    </row>
  </sheetData>
  <printOptions/>
  <pageMargins left="0.75" right="0.75" top="1" bottom="1" header="0.4921259845" footer="0.4921259845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:G20"/>
    </sheetView>
  </sheetViews>
  <sheetFormatPr defaultColWidth="12" defaultRowHeight="12.75"/>
  <cols>
    <col min="1" max="1" width="46" style="441" customWidth="1"/>
    <col min="2" max="7" width="8.83203125" style="441" customWidth="1"/>
    <col min="8" max="16384" width="12" style="441" customWidth="1"/>
  </cols>
  <sheetData>
    <row r="1" spans="1:7" ht="13.5" thickBot="1">
      <c r="A1" s="548"/>
      <c r="B1" s="544" t="s">
        <v>562</v>
      </c>
      <c r="C1" s="545"/>
      <c r="D1" s="545"/>
      <c r="E1" s="545"/>
      <c r="F1" s="545"/>
      <c r="G1" s="546"/>
    </row>
    <row r="2" spans="1:7" ht="25.5">
      <c r="A2" s="507" t="s">
        <v>473</v>
      </c>
      <c r="B2" s="508" t="s">
        <v>471</v>
      </c>
      <c r="C2" s="509"/>
      <c r="D2" s="508" t="s">
        <v>472</v>
      </c>
      <c r="E2" s="509"/>
      <c r="F2" s="508" t="s">
        <v>484</v>
      </c>
      <c r="G2" s="510"/>
    </row>
    <row r="3" spans="1:7" ht="18">
      <c r="A3" s="504" t="s">
        <v>487</v>
      </c>
      <c r="B3" s="547" t="s">
        <v>563</v>
      </c>
      <c r="C3" s="547" t="s">
        <v>564</v>
      </c>
      <c r="D3" s="547" t="s">
        <v>566</v>
      </c>
      <c r="E3" s="547" t="s">
        <v>565</v>
      </c>
      <c r="F3" s="547" t="s">
        <v>567</v>
      </c>
      <c r="G3" s="549" t="s">
        <v>568</v>
      </c>
    </row>
    <row r="4" spans="1:7" ht="13.5" thickBot="1">
      <c r="A4" s="505"/>
      <c r="B4" s="490">
        <v>1</v>
      </c>
      <c r="C4" s="490">
        <f>B4*2</f>
        <v>2</v>
      </c>
      <c r="D4" s="490">
        <v>1.5</v>
      </c>
      <c r="E4" s="490">
        <f>D4*2</f>
        <v>3</v>
      </c>
      <c r="F4" s="490">
        <v>2.5</v>
      </c>
      <c r="G4" s="502">
        <f>F4*2</f>
        <v>5</v>
      </c>
    </row>
    <row r="5" spans="1:7" ht="12.75">
      <c r="A5" s="491" t="s">
        <v>476</v>
      </c>
      <c r="B5" s="492">
        <v>0.45</v>
      </c>
      <c r="C5" s="541">
        <f>B5*C$4</f>
        <v>0.9</v>
      </c>
      <c r="D5" s="541">
        <f>B5*D$4</f>
        <v>0.675</v>
      </c>
      <c r="E5" s="541">
        <f>B5*E$4</f>
        <v>1.35</v>
      </c>
      <c r="F5" s="541">
        <f>B5*F$4</f>
        <v>1.125</v>
      </c>
      <c r="G5" s="550">
        <f>B5*G$4</f>
        <v>2.25</v>
      </c>
    </row>
    <row r="6" spans="1:7" ht="12.75">
      <c r="A6" s="495" t="s">
        <v>477</v>
      </c>
      <c r="B6" s="445">
        <v>0.55</v>
      </c>
      <c r="C6" s="448">
        <f>B6*C$4</f>
        <v>1.1</v>
      </c>
      <c r="D6" s="448">
        <f>B6*D$4</f>
        <v>0.8250000000000001</v>
      </c>
      <c r="E6" s="448">
        <f>B6*E$4</f>
        <v>1.6500000000000001</v>
      </c>
      <c r="F6" s="448">
        <f aca="true" t="shared" si="0" ref="F6:F11">B6*F$4</f>
        <v>1.375</v>
      </c>
      <c r="G6" s="496">
        <f>B6*G$4</f>
        <v>2.75</v>
      </c>
    </row>
    <row r="7" spans="1:7" ht="12.75">
      <c r="A7" s="495" t="s">
        <v>474</v>
      </c>
      <c r="B7" s="445">
        <v>0.65</v>
      </c>
      <c r="C7" s="448">
        <f>B7*C$4</f>
        <v>1.3</v>
      </c>
      <c r="D7" s="448">
        <f>B7*D$4</f>
        <v>0.9750000000000001</v>
      </c>
      <c r="E7" s="448">
        <f>B7*E$4</f>
        <v>1.9500000000000002</v>
      </c>
      <c r="F7" s="448">
        <f t="shared" si="0"/>
        <v>1.625</v>
      </c>
      <c r="G7" s="496">
        <f>B7*G$4</f>
        <v>3.25</v>
      </c>
    </row>
    <row r="8" spans="1:7" ht="13.5" thickBot="1">
      <c r="A8" s="497" t="s">
        <v>475</v>
      </c>
      <c r="B8" s="498">
        <v>0.33</v>
      </c>
      <c r="C8" s="542">
        <f>B8*C$4</f>
        <v>0.66</v>
      </c>
      <c r="D8" s="542">
        <f>B8*D$4</f>
        <v>0.495</v>
      </c>
      <c r="E8" s="542">
        <f>B8*E$4</f>
        <v>0.99</v>
      </c>
      <c r="F8" s="490">
        <f t="shared" si="0"/>
        <v>0.8250000000000001</v>
      </c>
      <c r="G8" s="502">
        <f>B8*G$4</f>
        <v>1.6500000000000001</v>
      </c>
    </row>
    <row r="9" spans="1:7" ht="12.75">
      <c r="A9" s="491" t="s">
        <v>478</v>
      </c>
      <c r="B9" s="492">
        <v>0.55</v>
      </c>
      <c r="C9" s="541">
        <f>B9*C$4</f>
        <v>1.1</v>
      </c>
      <c r="D9" s="541">
        <f>B9*D$4</f>
        <v>0.8250000000000001</v>
      </c>
      <c r="E9" s="541">
        <f>B9*E$4</f>
        <v>1.6500000000000001</v>
      </c>
      <c r="F9" s="493">
        <f t="shared" si="0"/>
        <v>1.375</v>
      </c>
      <c r="G9" s="494">
        <f>B9*G$4</f>
        <v>2.75</v>
      </c>
    </row>
    <row r="10" spans="1:7" ht="12.75">
      <c r="A10" s="495" t="s">
        <v>479</v>
      </c>
      <c r="B10" s="445">
        <v>0.65</v>
      </c>
      <c r="C10" s="448">
        <f>B10*C$4</f>
        <v>1.3</v>
      </c>
      <c r="D10" s="448">
        <f>B10*D$4</f>
        <v>0.9750000000000001</v>
      </c>
      <c r="E10" s="448">
        <f>B10*E$4</f>
        <v>1.9500000000000002</v>
      </c>
      <c r="F10" s="448">
        <f t="shared" si="0"/>
        <v>1.625</v>
      </c>
      <c r="G10" s="496">
        <f>B10*G$4</f>
        <v>3.25</v>
      </c>
    </row>
    <row r="11" spans="1:7" ht="12.75">
      <c r="A11" s="495" t="s">
        <v>480</v>
      </c>
      <c r="B11" s="448">
        <v>0.4</v>
      </c>
      <c r="C11" s="448">
        <f>B11*C$4</f>
        <v>0.8</v>
      </c>
      <c r="D11" s="448">
        <f>B11*D$4</f>
        <v>0.6000000000000001</v>
      </c>
      <c r="E11" s="448">
        <f>B11*E$4</f>
        <v>1.2000000000000002</v>
      </c>
      <c r="F11" s="448">
        <f t="shared" si="0"/>
        <v>1</v>
      </c>
      <c r="G11" s="496">
        <f>B11*G$4</f>
        <v>2</v>
      </c>
    </row>
    <row r="12" spans="1:7" ht="13.5" thickBot="1">
      <c r="A12" s="497" t="s">
        <v>481</v>
      </c>
      <c r="B12" s="498">
        <v>0.25</v>
      </c>
      <c r="C12" s="543">
        <f>B12*C$4</f>
        <v>0.5</v>
      </c>
      <c r="D12" s="499">
        <f>B12*D$4</f>
        <v>0.375</v>
      </c>
      <c r="E12" s="499">
        <f>B12*E$4</f>
        <v>0.75</v>
      </c>
      <c r="F12" s="499">
        <f>B12*F$4</f>
        <v>0.625</v>
      </c>
      <c r="G12" s="500">
        <f>B12*G$4</f>
        <v>1.25</v>
      </c>
    </row>
    <row r="13" spans="1:7" ht="18.75" thickBot="1">
      <c r="A13" s="506" t="s">
        <v>488</v>
      </c>
      <c r="B13" s="547" t="s">
        <v>563</v>
      </c>
      <c r="C13" s="547" t="s">
        <v>564</v>
      </c>
      <c r="D13" s="547" t="s">
        <v>566</v>
      </c>
      <c r="E13" s="547" t="s">
        <v>565</v>
      </c>
      <c r="F13" s="547" t="s">
        <v>567</v>
      </c>
      <c r="G13" s="549" t="s">
        <v>568</v>
      </c>
    </row>
    <row r="14" spans="1:7" ht="12.75">
      <c r="A14" s="491" t="s">
        <v>482</v>
      </c>
      <c r="B14" s="492">
        <v>0.45</v>
      </c>
      <c r="C14" s="493">
        <f>B14*C$4</f>
        <v>0.9</v>
      </c>
      <c r="D14" s="493">
        <f>B14*D$4</f>
        <v>0.675</v>
      </c>
      <c r="E14" s="493">
        <f>B14*E$4</f>
        <v>1.35</v>
      </c>
      <c r="F14" s="493">
        <f>B14*F$4</f>
        <v>1.125</v>
      </c>
      <c r="G14" s="494">
        <f>B14*G$4</f>
        <v>2.25</v>
      </c>
    </row>
    <row r="15" spans="1:7" ht="12.75">
      <c r="A15" s="495" t="s">
        <v>483</v>
      </c>
      <c r="B15" s="448">
        <v>0.4</v>
      </c>
      <c r="C15" s="448">
        <f>B15*C$4</f>
        <v>0.8</v>
      </c>
      <c r="D15" s="448">
        <f>B15*D$4</f>
        <v>0.6000000000000001</v>
      </c>
      <c r="E15" s="448">
        <f>B15*E$4</f>
        <v>1.2000000000000002</v>
      </c>
      <c r="F15" s="448">
        <f>B15*F$4</f>
        <v>1</v>
      </c>
      <c r="G15" s="496">
        <f>B15*G$4</f>
        <v>2</v>
      </c>
    </row>
    <row r="16" spans="1:7" ht="12.75">
      <c r="A16" s="501" t="s">
        <v>482</v>
      </c>
      <c r="B16" s="489">
        <v>0.45</v>
      </c>
      <c r="C16" s="448">
        <f>B16*C$4</f>
        <v>0.9</v>
      </c>
      <c r="D16" s="448">
        <f>B16*D$4</f>
        <v>0.675</v>
      </c>
      <c r="E16" s="448">
        <f>B16*E$4</f>
        <v>1.35</v>
      </c>
      <c r="F16" s="490">
        <f>B16*F$4</f>
        <v>1.125</v>
      </c>
      <c r="G16" s="502">
        <f>B16*G$4</f>
        <v>2.25</v>
      </c>
    </row>
    <row r="17" spans="1:7" ht="13.5" thickBot="1">
      <c r="A17" s="497" t="s">
        <v>485</v>
      </c>
      <c r="B17" s="498" t="s">
        <v>486</v>
      </c>
      <c r="C17" s="498" t="s">
        <v>490</v>
      </c>
      <c r="D17" s="498" t="s">
        <v>558</v>
      </c>
      <c r="E17" s="498" t="s">
        <v>559</v>
      </c>
      <c r="F17" s="498" t="s">
        <v>560</v>
      </c>
      <c r="G17" s="551" t="s">
        <v>561</v>
      </c>
    </row>
    <row r="18" spans="1:7" ht="18.75" thickBot="1">
      <c r="A18" s="506" t="s">
        <v>489</v>
      </c>
      <c r="B18" s="547" t="s">
        <v>563</v>
      </c>
      <c r="C18" s="547" t="s">
        <v>564</v>
      </c>
      <c r="D18" s="547" t="s">
        <v>566</v>
      </c>
      <c r="E18" s="547" t="s">
        <v>565</v>
      </c>
      <c r="F18" s="547" t="s">
        <v>567</v>
      </c>
      <c r="G18" s="549" t="s">
        <v>568</v>
      </c>
    </row>
    <row r="19" spans="1:7" ht="12.75">
      <c r="A19" s="491" t="s">
        <v>482</v>
      </c>
      <c r="B19" s="492">
        <v>1.85</v>
      </c>
      <c r="C19" s="493">
        <f>B19*C$4</f>
        <v>3.7</v>
      </c>
      <c r="D19" s="493">
        <f>B19*D$4</f>
        <v>2.7750000000000004</v>
      </c>
      <c r="E19" s="493">
        <f>B19*E$4</f>
        <v>5.550000000000001</v>
      </c>
      <c r="F19" s="493">
        <f>B19*F$4</f>
        <v>4.625</v>
      </c>
      <c r="G19" s="494">
        <f>B19*G$4</f>
        <v>9.25</v>
      </c>
    </row>
    <row r="20" spans="1:7" ht="13.5" thickBot="1">
      <c r="A20" s="497" t="s">
        <v>483</v>
      </c>
      <c r="B20" s="499">
        <v>1.75</v>
      </c>
      <c r="C20" s="499">
        <f>B20*C$4</f>
        <v>3.5</v>
      </c>
      <c r="D20" s="499">
        <f>B20*D$4</f>
        <v>2.625</v>
      </c>
      <c r="E20" s="499">
        <f>B20*E$4</f>
        <v>5.25</v>
      </c>
      <c r="F20" s="499">
        <f>B20*F$4</f>
        <v>4.375</v>
      </c>
      <c r="G20" s="500">
        <f>B20*G$4</f>
        <v>8.75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E5" sqref="E5"/>
    </sheetView>
  </sheetViews>
  <sheetFormatPr defaultColWidth="12" defaultRowHeight="12.75"/>
  <cols>
    <col min="1" max="1" width="24.66015625" style="0" customWidth="1"/>
    <col min="2" max="2" width="21.5" style="0" customWidth="1"/>
  </cols>
  <sheetData>
    <row r="2" spans="1:9" ht="12.75">
      <c r="A2" s="511" t="s">
        <v>491</v>
      </c>
      <c r="B2" s="511" t="s">
        <v>492</v>
      </c>
      <c r="C2" s="512" t="s">
        <v>493</v>
      </c>
      <c r="D2" s="512" t="s">
        <v>494</v>
      </c>
      <c r="E2" s="512" t="s">
        <v>523</v>
      </c>
      <c r="F2" s="512" t="s">
        <v>495</v>
      </c>
      <c r="G2" s="512" t="s">
        <v>496</v>
      </c>
      <c r="H2" s="512" t="s">
        <v>497</v>
      </c>
      <c r="I2" s="512" t="s">
        <v>498</v>
      </c>
    </row>
    <row r="3" spans="1:9" ht="12.75">
      <c r="A3" s="513"/>
      <c r="B3" s="513"/>
      <c r="C3" s="513" t="s">
        <v>394</v>
      </c>
      <c r="D3" s="513" t="s">
        <v>394</v>
      </c>
      <c r="E3" s="513" t="s">
        <v>394</v>
      </c>
      <c r="F3" s="514" t="s">
        <v>394</v>
      </c>
      <c r="G3" s="514" t="s">
        <v>394</v>
      </c>
      <c r="H3" s="514" t="s">
        <v>394</v>
      </c>
      <c r="I3" s="514" t="s">
        <v>394</v>
      </c>
    </row>
    <row r="4" spans="1:7" ht="15">
      <c r="A4" s="515" t="s">
        <v>499</v>
      </c>
      <c r="B4" s="515"/>
      <c r="C4" s="516"/>
      <c r="D4" s="516"/>
      <c r="E4" s="517"/>
      <c r="F4" s="517" t="s">
        <v>500</v>
      </c>
      <c r="G4" s="517"/>
    </row>
    <row r="5" spans="1:9" ht="12.75">
      <c r="A5" s="518" t="s">
        <v>501</v>
      </c>
      <c r="B5" s="518" t="s">
        <v>535</v>
      </c>
      <c r="C5" s="519">
        <f>MIN(G5/2,0.9*F5)</f>
        <v>175.5</v>
      </c>
      <c r="D5" s="520">
        <f>C5</f>
        <v>175.5</v>
      </c>
      <c r="E5" s="519">
        <f>1.8*C5</f>
        <v>315.90000000000003</v>
      </c>
      <c r="F5" s="520">
        <v>195</v>
      </c>
      <c r="G5" s="520">
        <v>500</v>
      </c>
      <c r="H5" s="72">
        <f>G5/2</f>
        <v>250</v>
      </c>
      <c r="I5" s="521">
        <f>F5*0.9</f>
        <v>175.5</v>
      </c>
    </row>
    <row r="6" spans="1:9" ht="12.75">
      <c r="A6" s="518" t="s">
        <v>502</v>
      </c>
      <c r="B6" s="518" t="s">
        <v>536</v>
      </c>
      <c r="C6" s="519">
        <f>MIN(G6/2,0.9*F6)</f>
        <v>175.5</v>
      </c>
      <c r="D6" s="520">
        <f>C6</f>
        <v>175.5</v>
      </c>
      <c r="E6" s="519">
        <f aca="true" t="shared" si="0" ref="E6:E26">1.8*C6</f>
        <v>315.90000000000003</v>
      </c>
      <c r="F6" s="520">
        <v>195</v>
      </c>
      <c r="G6" s="520">
        <v>500</v>
      </c>
      <c r="H6" s="72">
        <f aca="true" t="shared" si="1" ref="H6:H29">G6/2</f>
        <v>250</v>
      </c>
      <c r="I6" s="521">
        <f aca="true" t="shared" si="2" ref="I6:I26">F6*0.9</f>
        <v>175.5</v>
      </c>
    </row>
    <row r="7" spans="1:9" ht="12.75">
      <c r="A7" s="518"/>
      <c r="B7" s="518"/>
      <c r="C7" s="519"/>
      <c r="D7" s="520"/>
      <c r="E7" s="519"/>
      <c r="F7" s="520"/>
      <c r="G7" s="520"/>
      <c r="H7" s="72"/>
      <c r="I7" s="521"/>
    </row>
    <row r="8" spans="1:9" ht="12.75">
      <c r="A8" s="518" t="s">
        <v>503</v>
      </c>
      <c r="B8" s="518" t="s">
        <v>504</v>
      </c>
      <c r="C8" s="519">
        <f>MIN(G8/2,0.9*F8)</f>
        <v>500</v>
      </c>
      <c r="D8" s="520" t="s">
        <v>505</v>
      </c>
      <c r="E8" s="519">
        <f t="shared" si="0"/>
        <v>900</v>
      </c>
      <c r="F8" s="520">
        <v>720</v>
      </c>
      <c r="G8" s="520">
        <v>1000</v>
      </c>
      <c r="H8" s="72">
        <f t="shared" si="1"/>
        <v>500</v>
      </c>
      <c r="I8" s="521">
        <f t="shared" si="2"/>
        <v>648</v>
      </c>
    </row>
    <row r="9" spans="1:9" ht="12.75">
      <c r="A9" s="518" t="s">
        <v>506</v>
      </c>
      <c r="B9" s="522">
        <v>4462</v>
      </c>
      <c r="C9" s="519">
        <f>MIN(G9/2,0.9*F9)</f>
        <v>330</v>
      </c>
      <c r="D9" s="520"/>
      <c r="E9" s="519">
        <f t="shared" si="0"/>
        <v>594</v>
      </c>
      <c r="F9" s="520">
        <v>450</v>
      </c>
      <c r="G9" s="520">
        <v>660</v>
      </c>
      <c r="H9" s="72">
        <f t="shared" si="1"/>
        <v>330</v>
      </c>
      <c r="I9" s="521">
        <f t="shared" si="2"/>
        <v>405</v>
      </c>
    </row>
    <row r="10" spans="1:9" ht="15">
      <c r="A10" s="515" t="s">
        <v>507</v>
      </c>
      <c r="B10" s="523"/>
      <c r="C10" s="524"/>
      <c r="D10" s="516"/>
      <c r="E10" s="519"/>
      <c r="F10" s="517" t="s">
        <v>500</v>
      </c>
      <c r="G10" s="517"/>
      <c r="H10" s="72"/>
      <c r="I10" s="521"/>
    </row>
    <row r="11" spans="1:9" ht="12.75">
      <c r="A11" s="518" t="s">
        <v>508</v>
      </c>
      <c r="B11" s="518"/>
      <c r="C11" s="519">
        <f>MIN(G11/2,0.9*F11)</f>
        <v>210</v>
      </c>
      <c r="D11" s="520">
        <f>C11</f>
        <v>210</v>
      </c>
      <c r="E11" s="519">
        <f t="shared" si="0"/>
        <v>378</v>
      </c>
      <c r="F11" s="520">
        <v>235</v>
      </c>
      <c r="G11" s="520">
        <v>420</v>
      </c>
      <c r="H11" s="72">
        <f t="shared" si="1"/>
        <v>210</v>
      </c>
      <c r="I11" s="521">
        <f t="shared" si="2"/>
        <v>211.5</v>
      </c>
    </row>
    <row r="12" spans="1:9" ht="15">
      <c r="A12" s="515" t="s">
        <v>528</v>
      </c>
      <c r="B12" s="523"/>
      <c r="C12" s="524"/>
      <c r="D12" s="516"/>
      <c r="E12" s="519"/>
      <c r="F12" s="517" t="s">
        <v>500</v>
      </c>
      <c r="G12" s="517"/>
      <c r="H12" s="72"/>
      <c r="I12" s="521"/>
    </row>
    <row r="13" spans="1:9" ht="12.75">
      <c r="A13" s="518" t="s">
        <v>529</v>
      </c>
      <c r="B13" s="528" t="s">
        <v>530</v>
      </c>
      <c r="C13" s="519">
        <f>MIN(G13/2,0.9*F13)</f>
        <v>75</v>
      </c>
      <c r="D13" s="520">
        <f>C13</f>
        <v>75</v>
      </c>
      <c r="E13" s="519">
        <f>1.8*C13</f>
        <v>135</v>
      </c>
      <c r="F13" s="520">
        <v>120</v>
      </c>
      <c r="G13" s="520">
        <v>150</v>
      </c>
      <c r="H13" s="72">
        <f t="shared" si="1"/>
        <v>75</v>
      </c>
      <c r="I13" s="521">
        <f>F13*0.9</f>
        <v>108</v>
      </c>
    </row>
    <row r="14" spans="1:9" ht="15">
      <c r="A14" s="515" t="s">
        <v>509</v>
      </c>
      <c r="B14" s="525"/>
      <c r="C14" s="524"/>
      <c r="D14" s="516"/>
      <c r="E14" s="519"/>
      <c r="F14" s="516" t="s">
        <v>500</v>
      </c>
      <c r="G14" s="516"/>
      <c r="H14" s="72"/>
      <c r="I14" s="521"/>
    </row>
    <row r="15" spans="1:9" ht="12.75">
      <c r="A15" s="518" t="s">
        <v>510</v>
      </c>
      <c r="B15" s="518"/>
      <c r="C15" s="519">
        <f aca="true" t="shared" si="3" ref="C15:C26">MIN(G15/2,0.9*F15)</f>
        <v>112.5</v>
      </c>
      <c r="D15" s="520">
        <f>C15</f>
        <v>112.5</v>
      </c>
      <c r="E15" s="519">
        <f t="shared" si="0"/>
        <v>202.5</v>
      </c>
      <c r="F15" s="520">
        <v>125</v>
      </c>
      <c r="G15" s="520">
        <v>275</v>
      </c>
      <c r="H15" s="521">
        <f t="shared" si="1"/>
        <v>137.5</v>
      </c>
      <c r="I15" s="521">
        <f t="shared" si="2"/>
        <v>112.5</v>
      </c>
    </row>
    <row r="16" spans="1:9" ht="12.75">
      <c r="A16" s="518" t="s">
        <v>511</v>
      </c>
      <c r="B16" s="518"/>
      <c r="C16" s="519">
        <f t="shared" si="3"/>
        <v>135</v>
      </c>
      <c r="D16" s="520">
        <f>C16</f>
        <v>135</v>
      </c>
      <c r="E16" s="519">
        <f t="shared" si="0"/>
        <v>243</v>
      </c>
      <c r="F16" s="520">
        <v>225</v>
      </c>
      <c r="G16" s="520">
        <v>270</v>
      </c>
      <c r="H16" s="72">
        <f t="shared" si="1"/>
        <v>135</v>
      </c>
      <c r="I16" s="521">
        <f t="shared" si="2"/>
        <v>202.5</v>
      </c>
    </row>
    <row r="17" spans="1:9" ht="12.75">
      <c r="A17" s="518" t="s">
        <v>512</v>
      </c>
      <c r="B17" s="518"/>
      <c r="C17" s="519">
        <f t="shared" si="3"/>
        <v>130</v>
      </c>
      <c r="D17" s="520">
        <f>C17</f>
        <v>130</v>
      </c>
      <c r="E17" s="519">
        <f t="shared" si="0"/>
        <v>234</v>
      </c>
      <c r="F17" s="520">
        <v>215</v>
      </c>
      <c r="G17" s="520">
        <v>260</v>
      </c>
      <c r="H17" s="72">
        <f t="shared" si="1"/>
        <v>130</v>
      </c>
      <c r="I17" s="521">
        <f t="shared" si="2"/>
        <v>193.5</v>
      </c>
    </row>
    <row r="18" spans="1:9" ht="12.75">
      <c r="A18" s="518" t="s">
        <v>513</v>
      </c>
      <c r="B18" s="518"/>
      <c r="C18" s="519">
        <f t="shared" si="3"/>
        <v>145</v>
      </c>
      <c r="D18" s="520">
        <f>C18</f>
        <v>145</v>
      </c>
      <c r="E18" s="519">
        <f t="shared" si="0"/>
        <v>261</v>
      </c>
      <c r="F18" s="520">
        <v>245</v>
      </c>
      <c r="G18" s="520">
        <v>290</v>
      </c>
      <c r="H18" s="72">
        <f t="shared" si="1"/>
        <v>145</v>
      </c>
      <c r="I18" s="521">
        <f t="shared" si="2"/>
        <v>220.5</v>
      </c>
    </row>
    <row r="19" spans="1:9" ht="12.75">
      <c r="A19" s="518" t="s">
        <v>514</v>
      </c>
      <c r="B19" s="518"/>
      <c r="C19" s="519">
        <f t="shared" si="3"/>
        <v>155</v>
      </c>
      <c r="D19" s="520">
        <f>C19</f>
        <v>155</v>
      </c>
      <c r="E19" s="519">
        <f t="shared" si="0"/>
        <v>279</v>
      </c>
      <c r="F19" s="520">
        <v>260</v>
      </c>
      <c r="G19" s="520">
        <v>310</v>
      </c>
      <c r="H19" s="72">
        <f t="shared" si="1"/>
        <v>155</v>
      </c>
      <c r="I19" s="521">
        <f t="shared" si="2"/>
        <v>234</v>
      </c>
    </row>
    <row r="20" spans="1:9" ht="15">
      <c r="A20" s="515" t="s">
        <v>515</v>
      </c>
      <c r="B20" s="525"/>
      <c r="C20" s="524"/>
      <c r="D20" s="516"/>
      <c r="E20" s="519"/>
      <c r="F20" s="516" t="s">
        <v>500</v>
      </c>
      <c r="G20" s="516"/>
      <c r="H20" s="72"/>
      <c r="I20" s="521"/>
    </row>
    <row r="21" spans="1:9" ht="12.75">
      <c r="A21" s="518" t="s">
        <v>516</v>
      </c>
      <c r="B21" s="518"/>
      <c r="C21" s="519">
        <f t="shared" si="3"/>
        <v>450</v>
      </c>
      <c r="D21" s="520" t="s">
        <v>517</v>
      </c>
      <c r="E21" s="519">
        <f t="shared" si="0"/>
        <v>810</v>
      </c>
      <c r="F21" s="520">
        <v>820</v>
      </c>
      <c r="G21" s="520">
        <v>900</v>
      </c>
      <c r="H21" s="72">
        <f t="shared" si="1"/>
        <v>450</v>
      </c>
      <c r="I21" s="521">
        <f t="shared" si="2"/>
        <v>738</v>
      </c>
    </row>
    <row r="22" spans="1:9" ht="15">
      <c r="A22" s="515" t="s">
        <v>518</v>
      </c>
      <c r="B22" s="525"/>
      <c r="C22" s="524"/>
      <c r="D22" s="516"/>
      <c r="E22" s="519"/>
      <c r="F22" s="516" t="s">
        <v>500</v>
      </c>
      <c r="G22" s="516"/>
      <c r="H22" s="72"/>
      <c r="I22" s="521"/>
    </row>
    <row r="23" spans="1:9" ht="12.75">
      <c r="A23" s="518" t="s">
        <v>519</v>
      </c>
      <c r="B23" s="518"/>
      <c r="C23" s="519">
        <f t="shared" si="3"/>
        <v>220.5</v>
      </c>
      <c r="D23" s="520"/>
      <c r="E23" s="519">
        <f t="shared" si="0"/>
        <v>396.90000000000003</v>
      </c>
      <c r="F23" s="520">
        <v>245</v>
      </c>
      <c r="G23" s="520">
        <v>510</v>
      </c>
      <c r="H23" s="72">
        <f t="shared" si="1"/>
        <v>255</v>
      </c>
      <c r="I23" s="521">
        <f t="shared" si="2"/>
        <v>220.5</v>
      </c>
    </row>
    <row r="24" spans="1:9" ht="12.75">
      <c r="A24" s="518" t="s">
        <v>520</v>
      </c>
      <c r="B24" s="518"/>
      <c r="C24" s="519">
        <f t="shared" si="3"/>
        <v>351</v>
      </c>
      <c r="D24" s="520"/>
      <c r="E24" s="519">
        <f t="shared" si="0"/>
        <v>631.8000000000001</v>
      </c>
      <c r="F24" s="520">
        <v>390</v>
      </c>
      <c r="G24" s="520">
        <v>740</v>
      </c>
      <c r="H24" s="72">
        <f t="shared" si="1"/>
        <v>370</v>
      </c>
      <c r="I24" s="521">
        <f t="shared" si="2"/>
        <v>351</v>
      </c>
    </row>
    <row r="25" spans="1:9" ht="12.75">
      <c r="A25" s="518" t="s">
        <v>521</v>
      </c>
      <c r="B25" s="518"/>
      <c r="C25" s="519">
        <f t="shared" si="3"/>
        <v>275</v>
      </c>
      <c r="D25" s="520"/>
      <c r="E25" s="519">
        <f t="shared" si="0"/>
        <v>495</v>
      </c>
      <c r="F25" s="520">
        <v>350</v>
      </c>
      <c r="G25" s="520">
        <v>550</v>
      </c>
      <c r="H25" s="72">
        <f t="shared" si="1"/>
        <v>275</v>
      </c>
      <c r="I25" s="521">
        <f t="shared" si="2"/>
        <v>315</v>
      </c>
    </row>
    <row r="26" spans="1:9" ht="12.75">
      <c r="A26" s="518" t="s">
        <v>522</v>
      </c>
      <c r="B26" s="518"/>
      <c r="C26" s="519">
        <f t="shared" si="3"/>
        <v>480</v>
      </c>
      <c r="D26" s="520"/>
      <c r="E26" s="519">
        <f t="shared" si="0"/>
        <v>864</v>
      </c>
      <c r="F26" s="520">
        <v>690</v>
      </c>
      <c r="G26" s="520">
        <v>960</v>
      </c>
      <c r="H26" s="72">
        <f t="shared" si="1"/>
        <v>480</v>
      </c>
      <c r="I26" s="521">
        <f t="shared" si="2"/>
        <v>621</v>
      </c>
    </row>
    <row r="27" spans="1:9" ht="15">
      <c r="A27" s="515" t="s">
        <v>534</v>
      </c>
      <c r="B27" s="525"/>
      <c r="C27" s="524"/>
      <c r="D27" s="516"/>
      <c r="E27" s="519"/>
      <c r="F27" s="516" t="s">
        <v>500</v>
      </c>
      <c r="G27" s="516"/>
      <c r="H27" s="72"/>
      <c r="I27" s="521"/>
    </row>
    <row r="28" spans="1:9" ht="12.75">
      <c r="A28" s="518" t="s">
        <v>531</v>
      </c>
      <c r="B28" s="518"/>
      <c r="C28" s="519">
        <f>MAX(G28/2,0.9*F28)</f>
        <v>9</v>
      </c>
      <c r="D28" s="520"/>
      <c r="E28" s="519">
        <f>1.8*C28</f>
        <v>16.2</v>
      </c>
      <c r="F28" s="520"/>
      <c r="G28" s="520">
        <v>18</v>
      </c>
      <c r="H28" s="72">
        <f t="shared" si="1"/>
        <v>9</v>
      </c>
      <c r="I28" s="521">
        <f>F28*0.9</f>
        <v>0</v>
      </c>
    </row>
    <row r="29" spans="1:9" ht="12.75">
      <c r="A29" s="518" t="s">
        <v>532</v>
      </c>
      <c r="B29" s="518"/>
      <c r="C29" s="519">
        <f>MAX(G29/2,0.9*F29)</f>
        <v>10</v>
      </c>
      <c r="D29" s="520"/>
      <c r="E29" s="519">
        <f>1.8*C29</f>
        <v>18</v>
      </c>
      <c r="F29" s="520"/>
      <c r="G29" s="520">
        <v>20</v>
      </c>
      <c r="H29" s="72">
        <f t="shared" si="1"/>
        <v>10</v>
      </c>
      <c r="I29" s="521">
        <f>F29*0.9</f>
        <v>0</v>
      </c>
    </row>
    <row r="30" spans="1:9" ht="12.75">
      <c r="A30" s="518" t="s">
        <v>533</v>
      </c>
      <c r="B30" s="518"/>
      <c r="C30" s="519">
        <f>MAX(G30/2,0.9*F30)</f>
        <v>40</v>
      </c>
      <c r="D30" s="520"/>
      <c r="E30" s="519">
        <f>1.8*C30</f>
        <v>72</v>
      </c>
      <c r="F30" s="520"/>
      <c r="G30" s="520">
        <v>80</v>
      </c>
      <c r="H30" s="72">
        <f>G30/2</f>
        <v>40</v>
      </c>
      <c r="I30" s="521">
        <f>F30*0.9</f>
        <v>0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H31" sqref="H31"/>
    </sheetView>
  </sheetViews>
  <sheetFormatPr defaultColWidth="12" defaultRowHeight="12.75"/>
  <cols>
    <col min="1" max="2" width="9.16015625" style="441" customWidth="1"/>
    <col min="3" max="3" width="10" style="441" customWidth="1"/>
    <col min="4" max="4" width="8.66015625" style="441" customWidth="1"/>
    <col min="5" max="5" width="9.66015625" style="441" customWidth="1"/>
    <col min="6" max="7" width="8.66015625" style="441" customWidth="1"/>
    <col min="8" max="10" width="10.16015625" style="441" customWidth="1"/>
    <col min="11" max="11" width="12" style="441" customWidth="1"/>
    <col min="12" max="12" width="16.5" style="441" customWidth="1"/>
    <col min="13" max="16384" width="12" style="441" customWidth="1"/>
  </cols>
  <sheetData>
    <row r="2" spans="1:10" ht="12.75">
      <c r="A2" s="529" t="s">
        <v>539</v>
      </c>
      <c r="B2" s="530"/>
      <c r="C2" s="531"/>
      <c r="D2" s="529" t="s">
        <v>544</v>
      </c>
      <c r="E2" s="530"/>
      <c r="F2" s="530"/>
      <c r="G2" s="531"/>
      <c r="H2" s="529" t="s">
        <v>557</v>
      </c>
      <c r="I2" s="530"/>
      <c r="J2" s="531"/>
    </row>
    <row r="3" spans="1:10" ht="12.75">
      <c r="A3" s="443" t="s">
        <v>524</v>
      </c>
      <c r="B3" s="443" t="s">
        <v>525</v>
      </c>
      <c r="C3" s="443" t="s">
        <v>552</v>
      </c>
      <c r="D3" s="443" t="s">
        <v>4</v>
      </c>
      <c r="E3" s="443" t="s">
        <v>138</v>
      </c>
      <c r="F3" s="443" t="s">
        <v>541</v>
      </c>
      <c r="G3" s="443" t="s">
        <v>543</v>
      </c>
      <c r="H3" s="443" t="s">
        <v>546</v>
      </c>
      <c r="I3" s="443" t="s">
        <v>547</v>
      </c>
      <c r="J3" s="443" t="s">
        <v>548</v>
      </c>
    </row>
    <row r="4" spans="1:10" ht="15.75">
      <c r="A4" s="503" t="s">
        <v>526</v>
      </c>
      <c r="B4" s="503" t="s">
        <v>526</v>
      </c>
      <c r="C4" s="532" t="s">
        <v>538</v>
      </c>
      <c r="D4" s="532" t="s">
        <v>545</v>
      </c>
      <c r="E4" s="503" t="s">
        <v>540</v>
      </c>
      <c r="F4" s="503" t="s">
        <v>542</v>
      </c>
      <c r="G4" s="503"/>
      <c r="H4" s="533" t="s">
        <v>549</v>
      </c>
      <c r="I4" s="533" t="s">
        <v>550</v>
      </c>
      <c r="J4" s="533" t="s">
        <v>551</v>
      </c>
    </row>
    <row r="5" spans="1:10" ht="12.75">
      <c r="A5" s="444" t="s">
        <v>527</v>
      </c>
      <c r="B5" s="444" t="s">
        <v>527</v>
      </c>
      <c r="C5" s="444" t="s">
        <v>21</v>
      </c>
      <c r="D5" s="444" t="s">
        <v>21</v>
      </c>
      <c r="E5" s="444" t="s">
        <v>21</v>
      </c>
      <c r="F5" s="444" t="s">
        <v>21</v>
      </c>
      <c r="G5" s="444" t="s">
        <v>21</v>
      </c>
      <c r="H5" s="444">
        <v>500</v>
      </c>
      <c r="I5" s="444">
        <f>H5*1.8</f>
        <v>900</v>
      </c>
      <c r="J5" s="534">
        <f>H5*0.577</f>
        <v>288.5</v>
      </c>
    </row>
    <row r="6" spans="1:10" ht="12.75">
      <c r="A6" s="527">
        <f>ROUND(B6/2,-1)</f>
        <v>410</v>
      </c>
      <c r="B6" s="527">
        <f>ROUND(150*0.76*PI()*C6^2/4,-1)</f>
        <v>810</v>
      </c>
      <c r="C6" s="526">
        <v>3</v>
      </c>
      <c r="D6" s="526">
        <v>6</v>
      </c>
      <c r="E6" s="445">
        <v>3</v>
      </c>
      <c r="F6" s="445">
        <v>15</v>
      </c>
      <c r="G6" s="445">
        <v>10</v>
      </c>
      <c r="H6" s="448">
        <f>(H$5*(F6-D6)*E6)/B6/10</f>
        <v>1.6666666666666667</v>
      </c>
      <c r="I6" s="448">
        <f>(D6*E6*I$5)/B6/10</f>
        <v>2</v>
      </c>
      <c r="J6" s="448">
        <v>1.645945925925926</v>
      </c>
    </row>
    <row r="7" spans="1:10" ht="12.75">
      <c r="A7" s="527">
        <f>ROUND(B7/2,-1)</f>
        <v>720</v>
      </c>
      <c r="B7" s="527">
        <f>ROUND(150*0.76*PI()*C7^2/4,-1)</f>
        <v>1430</v>
      </c>
      <c r="C7" s="526">
        <v>4</v>
      </c>
      <c r="D7" s="526">
        <v>8</v>
      </c>
      <c r="E7" s="445">
        <v>4</v>
      </c>
      <c r="F7" s="445">
        <v>20</v>
      </c>
      <c r="G7" s="445">
        <v>13</v>
      </c>
      <c r="H7" s="448">
        <f>(H$5*(F7-D7)*E7)/B7/10</f>
        <v>1.6783216783216783</v>
      </c>
      <c r="I7" s="448">
        <f>(D7*E7*I$5)/B7/10</f>
        <v>2.013986013986014</v>
      </c>
      <c r="J7" s="448">
        <v>1.6036565034965036</v>
      </c>
    </row>
    <row r="8" spans="1:10" ht="12.75">
      <c r="A8" s="527">
        <f>ROUND(B8/2,-1)</f>
        <v>1120</v>
      </c>
      <c r="B8" s="527">
        <f>ROUND(150*0.76*PI()*C8^2/4,-1)</f>
        <v>2240</v>
      </c>
      <c r="C8" s="526">
        <v>5</v>
      </c>
      <c r="D8" s="526">
        <v>8</v>
      </c>
      <c r="E8" s="445">
        <v>5</v>
      </c>
      <c r="F8" s="445">
        <v>22</v>
      </c>
      <c r="G8" s="445">
        <v>15</v>
      </c>
      <c r="H8" s="448">
        <f>(H$5*(F8-D8)*E8)/B8/10</f>
        <v>1.5625</v>
      </c>
      <c r="I8" s="448">
        <f>(D8*E8*I$5)/B8/10</f>
        <v>1.6071428571428572</v>
      </c>
      <c r="J8" s="448">
        <v>1.5372928571428572</v>
      </c>
    </row>
    <row r="9" spans="1:10" ht="12.75">
      <c r="A9" s="527">
        <f aca="true" t="shared" si="0" ref="A9:A20">ROUND(B9/2,-1)</f>
        <v>1510</v>
      </c>
      <c r="B9" s="527">
        <f>ROUND(140*0.76*PI()*C9^2/4,-1)</f>
        <v>3010</v>
      </c>
      <c r="C9" s="526">
        <v>6</v>
      </c>
      <c r="D9" s="526">
        <v>10</v>
      </c>
      <c r="E9" s="445">
        <v>6</v>
      </c>
      <c r="F9" s="445">
        <v>25</v>
      </c>
      <c r="G9" s="445">
        <v>18</v>
      </c>
      <c r="H9" s="448">
        <f aca="true" t="shared" si="1" ref="H9:H20">(H$5*(F9-D9)*E9)/B9/10</f>
        <v>1.495016611295681</v>
      </c>
      <c r="I9" s="448">
        <f aca="true" t="shared" si="2" ref="I9:I20">(D9*E9*I$5)/B9/10</f>
        <v>1.7940199335548173</v>
      </c>
      <c r="J9" s="448">
        <v>1.6297853820598007</v>
      </c>
    </row>
    <row r="10" spans="1:10" ht="12.75">
      <c r="A10" s="527">
        <f t="shared" si="0"/>
        <v>2050</v>
      </c>
      <c r="B10" s="527">
        <f aca="true" t="shared" si="3" ref="B10:B20">ROUND(140*0.76*PI()*C10^2/4,-1)</f>
        <v>4090</v>
      </c>
      <c r="C10" s="526">
        <v>7</v>
      </c>
      <c r="D10" s="526">
        <v>12</v>
      </c>
      <c r="E10" s="445">
        <v>7</v>
      </c>
      <c r="F10" s="445">
        <v>30</v>
      </c>
      <c r="G10" s="445">
        <v>20</v>
      </c>
      <c r="H10" s="448">
        <f t="shared" si="1"/>
        <v>1.5403422982885087</v>
      </c>
      <c r="I10" s="448">
        <f t="shared" si="2"/>
        <v>1.8484107579462101</v>
      </c>
      <c r="J10" s="448">
        <v>1.521192078239609</v>
      </c>
    </row>
    <row r="11" spans="1:10" ht="12.75">
      <c r="A11" s="527">
        <f t="shared" si="0"/>
        <v>2680</v>
      </c>
      <c r="B11" s="527">
        <f t="shared" si="3"/>
        <v>5350</v>
      </c>
      <c r="C11" s="526">
        <v>8</v>
      </c>
      <c r="D11" s="526">
        <v>12</v>
      </c>
      <c r="E11" s="445">
        <v>8</v>
      </c>
      <c r="F11" s="445">
        <v>35</v>
      </c>
      <c r="G11" s="445">
        <v>24</v>
      </c>
      <c r="H11" s="448">
        <f t="shared" si="1"/>
        <v>1.719626168224299</v>
      </c>
      <c r="I11" s="448">
        <f t="shared" si="2"/>
        <v>1.6149532710280372</v>
      </c>
      <c r="J11" s="448">
        <v>1.6741843738317759</v>
      </c>
    </row>
    <row r="12" spans="1:10" ht="12.75">
      <c r="A12" s="537">
        <f t="shared" si="0"/>
        <v>3390</v>
      </c>
      <c r="B12" s="537">
        <f t="shared" si="3"/>
        <v>6770</v>
      </c>
      <c r="C12" s="538">
        <v>9</v>
      </c>
      <c r="D12" s="538">
        <v>13</v>
      </c>
      <c r="E12" s="539">
        <v>10</v>
      </c>
      <c r="F12" s="539">
        <v>38</v>
      </c>
      <c r="G12" s="539">
        <v>26</v>
      </c>
      <c r="H12" s="540">
        <f t="shared" si="1"/>
        <v>1.846381093057607</v>
      </c>
      <c r="I12" s="540">
        <f t="shared" si="2"/>
        <v>1.7282127031019203</v>
      </c>
      <c r="J12" s="540">
        <v>1.7915977843426885</v>
      </c>
    </row>
    <row r="13" spans="1:10" ht="12.75">
      <c r="A13" s="527">
        <f t="shared" si="0"/>
        <v>4180</v>
      </c>
      <c r="B13" s="527">
        <f t="shared" si="3"/>
        <v>8360</v>
      </c>
      <c r="C13" s="526">
        <v>10</v>
      </c>
      <c r="D13" s="526">
        <v>14</v>
      </c>
      <c r="E13" s="445">
        <v>10</v>
      </c>
      <c r="F13" s="445">
        <v>40</v>
      </c>
      <c r="G13" s="445">
        <v>28</v>
      </c>
      <c r="H13" s="448">
        <f t="shared" si="1"/>
        <v>1.555023923444976</v>
      </c>
      <c r="I13" s="448">
        <f t="shared" si="2"/>
        <v>1.507177033492823</v>
      </c>
      <c r="J13" s="448">
        <v>1.5624552631578945</v>
      </c>
    </row>
    <row r="14" spans="1:10" ht="12.75">
      <c r="A14" s="537">
        <f t="shared" si="0"/>
        <v>5060</v>
      </c>
      <c r="B14" s="537">
        <f t="shared" si="3"/>
        <v>10110</v>
      </c>
      <c r="C14" s="538">
        <v>11</v>
      </c>
      <c r="D14" s="538">
        <v>17</v>
      </c>
      <c r="E14" s="539">
        <v>14</v>
      </c>
      <c r="F14" s="539">
        <v>42</v>
      </c>
      <c r="G14" s="539">
        <v>30</v>
      </c>
      <c r="H14" s="540">
        <f t="shared" si="1"/>
        <v>1.7309594460929774</v>
      </c>
      <c r="I14" s="540">
        <f t="shared" si="2"/>
        <v>2.1186943620178043</v>
      </c>
      <c r="J14" s="540">
        <v>1.8767966567754697</v>
      </c>
    </row>
    <row r="15" spans="1:10" ht="12.75">
      <c r="A15" s="527">
        <f t="shared" si="0"/>
        <v>6020</v>
      </c>
      <c r="B15" s="527">
        <f t="shared" si="3"/>
        <v>12030</v>
      </c>
      <c r="C15" s="526">
        <v>12</v>
      </c>
      <c r="D15" s="526">
        <v>18</v>
      </c>
      <c r="E15" s="445">
        <v>14</v>
      </c>
      <c r="F15" s="445">
        <v>46</v>
      </c>
      <c r="G15" s="445">
        <v>32</v>
      </c>
      <c r="H15" s="448">
        <f t="shared" si="1"/>
        <v>1.629260182876143</v>
      </c>
      <c r="I15" s="448">
        <f t="shared" si="2"/>
        <v>1.8852867830423938</v>
      </c>
      <c r="J15" s="448">
        <v>1.6858376392352454</v>
      </c>
    </row>
    <row r="16" spans="1:10" ht="12.75">
      <c r="A16" s="537">
        <f t="shared" si="0"/>
        <v>7060</v>
      </c>
      <c r="B16" s="537">
        <f t="shared" si="3"/>
        <v>14120</v>
      </c>
      <c r="C16" s="538">
        <v>13</v>
      </c>
      <c r="D16" s="538">
        <v>20</v>
      </c>
      <c r="E16" s="539">
        <v>16</v>
      </c>
      <c r="F16" s="539">
        <v>50</v>
      </c>
      <c r="G16" s="539">
        <v>35</v>
      </c>
      <c r="H16" s="540">
        <f t="shared" si="1"/>
        <v>1.6997167138810199</v>
      </c>
      <c r="I16" s="540">
        <f t="shared" si="2"/>
        <v>2.039660056657224</v>
      </c>
      <c r="J16" s="540">
        <v>1.7875558073654392</v>
      </c>
    </row>
    <row r="17" spans="1:10" ht="12.75">
      <c r="A17" s="527">
        <f t="shared" si="0"/>
        <v>8190</v>
      </c>
      <c r="B17" s="527">
        <f t="shared" si="3"/>
        <v>16380</v>
      </c>
      <c r="C17" s="526">
        <v>14</v>
      </c>
      <c r="D17" s="526">
        <v>22</v>
      </c>
      <c r="E17" s="445">
        <v>16</v>
      </c>
      <c r="F17" s="445">
        <v>55</v>
      </c>
      <c r="G17" s="445">
        <v>40</v>
      </c>
      <c r="H17" s="448">
        <f t="shared" si="1"/>
        <v>1.6117216117216118</v>
      </c>
      <c r="I17" s="448">
        <f t="shared" si="2"/>
        <v>1.9340659340659339</v>
      </c>
      <c r="J17" s="448">
        <v>1.7795553601953604</v>
      </c>
    </row>
    <row r="18" spans="1:10" ht="12.75">
      <c r="A18" s="537">
        <f t="shared" si="0"/>
        <v>9400</v>
      </c>
      <c r="B18" s="537">
        <f t="shared" si="3"/>
        <v>18800</v>
      </c>
      <c r="C18" s="538">
        <v>15</v>
      </c>
      <c r="D18" s="538">
        <v>25</v>
      </c>
      <c r="E18" s="539">
        <v>18</v>
      </c>
      <c r="F18" s="539">
        <v>60</v>
      </c>
      <c r="G18" s="539">
        <v>42</v>
      </c>
      <c r="H18" s="540">
        <f t="shared" si="1"/>
        <v>1.675531914893617</v>
      </c>
      <c r="I18" s="540">
        <f t="shared" si="2"/>
        <v>2.154255319148936</v>
      </c>
      <c r="J18" s="540">
        <v>1.7913087765957445</v>
      </c>
    </row>
    <row r="19" spans="1:10" ht="12.75">
      <c r="A19" s="527">
        <f t="shared" si="0"/>
        <v>10700</v>
      </c>
      <c r="B19" s="527">
        <f t="shared" si="3"/>
        <v>21390</v>
      </c>
      <c r="C19" s="526">
        <v>16</v>
      </c>
      <c r="D19" s="526">
        <v>25</v>
      </c>
      <c r="E19" s="445">
        <v>18</v>
      </c>
      <c r="F19" s="445">
        <v>65</v>
      </c>
      <c r="G19" s="445">
        <v>42</v>
      </c>
      <c r="H19" s="448">
        <f t="shared" si="1"/>
        <v>1.6830294530154277</v>
      </c>
      <c r="I19" s="448">
        <f t="shared" si="2"/>
        <v>1.8934081346423561</v>
      </c>
      <c r="J19" s="448">
        <v>1.5744088359046282</v>
      </c>
    </row>
    <row r="20" spans="1:10" ht="12.75">
      <c r="A20" s="527">
        <f t="shared" si="0"/>
        <v>15090</v>
      </c>
      <c r="B20" s="527">
        <f t="shared" si="3"/>
        <v>30170</v>
      </c>
      <c r="C20" s="526">
        <v>19</v>
      </c>
      <c r="D20" s="526">
        <v>27</v>
      </c>
      <c r="E20" s="445">
        <v>20</v>
      </c>
      <c r="F20" s="445">
        <v>75</v>
      </c>
      <c r="G20" s="445">
        <v>50</v>
      </c>
      <c r="H20" s="448">
        <f t="shared" si="1"/>
        <v>1.5909844216108717</v>
      </c>
      <c r="I20" s="448">
        <f t="shared" si="2"/>
        <v>1.6108717268810075</v>
      </c>
      <c r="J20" s="448">
        <v>1.5169534637056679</v>
      </c>
    </row>
    <row r="21" spans="1:10" ht="12.75">
      <c r="A21" s="527">
        <f>ROUND(B21/2,-1)</f>
        <v>20230</v>
      </c>
      <c r="B21" s="527">
        <f>ROUND(140*0.76*PI()*C21^2/4,-1)</f>
        <v>40450</v>
      </c>
      <c r="C21" s="526">
        <v>22</v>
      </c>
      <c r="D21" s="526">
        <v>33</v>
      </c>
      <c r="E21" s="445">
        <v>25</v>
      </c>
      <c r="F21" s="445">
        <v>85</v>
      </c>
      <c r="G21" s="445">
        <v>55</v>
      </c>
      <c r="H21" s="448">
        <f>(H$5*(F21-D21)*E21)/B21/10</f>
        <v>1.6069221260815822</v>
      </c>
      <c r="I21" s="448">
        <f>(D21*E21*I$5)/B21/10</f>
        <v>1.8355995055624228</v>
      </c>
      <c r="J21" s="448">
        <v>1.5106487639060568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22"/>
  <sheetViews>
    <sheetView tabSelected="1" workbookViewId="0" topLeftCell="A4">
      <selection activeCell="A25" sqref="A25:IV46"/>
    </sheetView>
  </sheetViews>
  <sheetFormatPr defaultColWidth="12" defaultRowHeight="12.75"/>
  <cols>
    <col min="1" max="2" width="9.16015625" style="441" customWidth="1"/>
    <col min="3" max="3" width="10" style="441" customWidth="1"/>
    <col min="4" max="6" width="8.66015625" style="441" customWidth="1"/>
    <col min="7" max="7" width="9.66015625" style="441" customWidth="1"/>
    <col min="8" max="9" width="8.66015625" style="441" customWidth="1"/>
    <col min="10" max="12" width="10.16015625" style="441" customWidth="1"/>
    <col min="13" max="13" width="12" style="441" customWidth="1"/>
    <col min="14" max="14" width="16.5" style="441" customWidth="1"/>
    <col min="15" max="16384" width="12" style="441" customWidth="1"/>
  </cols>
  <sheetData>
    <row r="3" spans="1:12" ht="12.75">
      <c r="A3" s="529" t="s">
        <v>539</v>
      </c>
      <c r="B3" s="530"/>
      <c r="C3" s="531"/>
      <c r="D3" s="529" t="s">
        <v>553</v>
      </c>
      <c r="E3" s="530"/>
      <c r="F3" s="530"/>
      <c r="G3" s="530"/>
      <c r="H3" s="530"/>
      <c r="I3" s="531"/>
      <c r="J3" s="529" t="s">
        <v>557</v>
      </c>
      <c r="K3" s="530"/>
      <c r="L3" s="531"/>
    </row>
    <row r="4" spans="1:12" ht="12.75">
      <c r="A4" s="443" t="s">
        <v>524</v>
      </c>
      <c r="B4" s="443" t="s">
        <v>525</v>
      </c>
      <c r="C4" s="443" t="s">
        <v>552</v>
      </c>
      <c r="D4" s="443" t="s">
        <v>4</v>
      </c>
      <c r="E4" s="443" t="s">
        <v>151</v>
      </c>
      <c r="F4" s="443" t="s">
        <v>554</v>
      </c>
      <c r="G4" s="443" t="s">
        <v>138</v>
      </c>
      <c r="H4" s="443" t="s">
        <v>541</v>
      </c>
      <c r="I4" s="443" t="s">
        <v>543</v>
      </c>
      <c r="J4" s="443" t="s">
        <v>546</v>
      </c>
      <c r="K4" s="443" t="s">
        <v>547</v>
      </c>
      <c r="L4" s="443" t="s">
        <v>548</v>
      </c>
    </row>
    <row r="5" spans="1:12" ht="15.75">
      <c r="A5" s="503" t="s">
        <v>526</v>
      </c>
      <c r="B5" s="503" t="s">
        <v>526</v>
      </c>
      <c r="C5" s="532" t="s">
        <v>538</v>
      </c>
      <c r="D5" s="532" t="s">
        <v>545</v>
      </c>
      <c r="E5" s="535" t="s">
        <v>555</v>
      </c>
      <c r="F5" s="535"/>
      <c r="G5" s="503" t="s">
        <v>540</v>
      </c>
      <c r="H5" s="503" t="s">
        <v>542</v>
      </c>
      <c r="I5" s="503"/>
      <c r="J5" s="533" t="s">
        <v>549</v>
      </c>
      <c r="K5" s="533" t="s">
        <v>550</v>
      </c>
      <c r="L5" s="533" t="s">
        <v>551</v>
      </c>
    </row>
    <row r="6" spans="1:12" ht="12.75">
      <c r="A6" s="444" t="s">
        <v>527</v>
      </c>
      <c r="B6" s="444" t="s">
        <v>527</v>
      </c>
      <c r="C6" s="444" t="s">
        <v>21</v>
      </c>
      <c r="D6" s="444" t="s">
        <v>21</v>
      </c>
      <c r="E6" s="444" t="s">
        <v>21</v>
      </c>
      <c r="F6" s="444" t="s">
        <v>21</v>
      </c>
      <c r="G6" s="444" t="s">
        <v>21</v>
      </c>
      <c r="H6" s="444" t="s">
        <v>21</v>
      </c>
      <c r="I6" s="444" t="s">
        <v>21</v>
      </c>
      <c r="J6" s="444">
        <v>275</v>
      </c>
      <c r="K6" s="444">
        <f>J6*1.8</f>
        <v>495</v>
      </c>
      <c r="L6" s="534">
        <f>J6*0.577</f>
        <v>158.67499999999998</v>
      </c>
    </row>
    <row r="7" spans="1:12" ht="12.75">
      <c r="A7" s="527">
        <f aca="true" t="shared" si="0" ref="A7:A22">ROUND(B7/2,-1)</f>
        <v>410</v>
      </c>
      <c r="B7" s="527">
        <f>ROUND(150*0.76*PI()*C7^2/4,-1)</f>
        <v>810</v>
      </c>
      <c r="C7" s="526">
        <v>3</v>
      </c>
      <c r="D7" s="526">
        <v>6</v>
      </c>
      <c r="E7" s="536" t="s">
        <v>556</v>
      </c>
      <c r="F7" s="536"/>
      <c r="G7" s="445">
        <v>6</v>
      </c>
      <c r="H7" s="445">
        <v>15</v>
      </c>
      <c r="I7" s="445">
        <v>10</v>
      </c>
      <c r="J7" s="448">
        <f>(J$6*(H7-F7)*G7)/B7/10</f>
        <v>3.055555555555556</v>
      </c>
      <c r="K7" s="448">
        <f aca="true" t="shared" si="1" ref="K7:K20">(D7*G7*K$6)/B7/10</f>
        <v>2.2</v>
      </c>
      <c r="L7" s="448">
        <v>1.8105405185185184</v>
      </c>
    </row>
    <row r="8" spans="1:12" ht="12.75">
      <c r="A8" s="527">
        <f t="shared" si="0"/>
        <v>720</v>
      </c>
      <c r="B8" s="527">
        <f>ROUND(150*0.76*PI()*C8^2/4,-1)</f>
        <v>1430</v>
      </c>
      <c r="C8" s="526">
        <v>4</v>
      </c>
      <c r="D8" s="526">
        <v>8</v>
      </c>
      <c r="E8" s="536" t="s">
        <v>556</v>
      </c>
      <c r="F8" s="536"/>
      <c r="G8" s="445">
        <v>8</v>
      </c>
      <c r="H8" s="445">
        <v>20</v>
      </c>
      <c r="I8" s="445">
        <v>12</v>
      </c>
      <c r="J8" s="448">
        <f aca="true" t="shared" si="2" ref="J8:J20">(J$6*(H8-D8)*G8)/B8/10</f>
        <v>1.846153846153846</v>
      </c>
      <c r="K8" s="448">
        <f t="shared" si="1"/>
        <v>2.2153846153846155</v>
      </c>
      <c r="L8" s="448">
        <v>1.5864836923076922</v>
      </c>
    </row>
    <row r="9" spans="1:12" ht="12.75">
      <c r="A9" s="527">
        <f t="shared" si="0"/>
        <v>1120</v>
      </c>
      <c r="B9" s="527">
        <f>ROUND(150*0.76*PI()*C9^2/4,-1)</f>
        <v>2240</v>
      </c>
      <c r="C9" s="526">
        <v>5</v>
      </c>
      <c r="D9" s="526">
        <v>10</v>
      </c>
      <c r="E9" s="536" t="s">
        <v>556</v>
      </c>
      <c r="F9" s="536"/>
      <c r="G9" s="445">
        <v>10</v>
      </c>
      <c r="H9" s="445">
        <v>23</v>
      </c>
      <c r="I9" s="445">
        <v>15</v>
      </c>
      <c r="J9" s="448">
        <f t="shared" si="2"/>
        <v>1.5959821428571428</v>
      </c>
      <c r="K9" s="448">
        <f t="shared" si="1"/>
        <v>2.2098214285714284</v>
      </c>
      <c r="L9" s="448">
        <v>1.582499776785714</v>
      </c>
    </row>
    <row r="10" spans="1:12" ht="12.75">
      <c r="A10" s="527">
        <f t="shared" si="0"/>
        <v>1510</v>
      </c>
      <c r="B10" s="527">
        <f aca="true" t="shared" si="3" ref="B10:B22">ROUND(140*0.76*PI()*C10^2/4,-1)</f>
        <v>3010</v>
      </c>
      <c r="C10" s="526">
        <v>6</v>
      </c>
      <c r="D10" s="526">
        <v>12</v>
      </c>
      <c r="E10" s="526">
        <v>12</v>
      </c>
      <c r="F10" s="526">
        <v>14</v>
      </c>
      <c r="G10" s="445">
        <v>12</v>
      </c>
      <c r="H10" s="445">
        <v>26</v>
      </c>
      <c r="I10" s="445">
        <v>18</v>
      </c>
      <c r="J10" s="448">
        <f t="shared" si="2"/>
        <v>1.5348837209302326</v>
      </c>
      <c r="K10" s="448">
        <f t="shared" si="1"/>
        <v>2.368106312292359</v>
      </c>
      <c r="L10" s="448">
        <v>1.69585092358804</v>
      </c>
    </row>
    <row r="11" spans="1:12" ht="12.75">
      <c r="A11" s="527">
        <f t="shared" si="0"/>
        <v>2050</v>
      </c>
      <c r="B11" s="527">
        <f t="shared" si="3"/>
        <v>4090</v>
      </c>
      <c r="C11" s="526">
        <v>7</v>
      </c>
      <c r="D11" s="526">
        <v>14</v>
      </c>
      <c r="E11" s="526">
        <v>14</v>
      </c>
      <c r="F11" s="526">
        <v>16</v>
      </c>
      <c r="G11" s="445">
        <v>14</v>
      </c>
      <c r="H11" s="445">
        <v>30</v>
      </c>
      <c r="I11" s="445">
        <v>20</v>
      </c>
      <c r="J11" s="448">
        <f t="shared" si="2"/>
        <v>1.5061124694376526</v>
      </c>
      <c r="K11" s="448">
        <f t="shared" si="1"/>
        <v>2.372127139364303</v>
      </c>
      <c r="L11" s="448">
        <v>1.5901019608801954</v>
      </c>
    </row>
    <row r="12" spans="1:12" ht="12.75">
      <c r="A12" s="527">
        <f t="shared" si="0"/>
        <v>2680</v>
      </c>
      <c r="B12" s="527">
        <f t="shared" si="3"/>
        <v>5350</v>
      </c>
      <c r="C12" s="526">
        <v>8</v>
      </c>
      <c r="D12" s="526">
        <v>14</v>
      </c>
      <c r="E12" s="526">
        <v>14</v>
      </c>
      <c r="F12" s="526">
        <v>16</v>
      </c>
      <c r="G12" s="445">
        <v>16</v>
      </c>
      <c r="H12" s="445">
        <v>35</v>
      </c>
      <c r="I12" s="445">
        <v>24</v>
      </c>
      <c r="J12" s="448">
        <f t="shared" si="2"/>
        <v>1.7271028037383178</v>
      </c>
      <c r="K12" s="448">
        <f t="shared" si="1"/>
        <v>2.0725233644859813</v>
      </c>
      <c r="L12" s="448">
        <v>1.768902968224299</v>
      </c>
    </row>
    <row r="13" spans="1:12" ht="12.75">
      <c r="A13" s="537">
        <f t="shared" si="0"/>
        <v>3390</v>
      </c>
      <c r="B13" s="537">
        <f t="shared" si="3"/>
        <v>6770</v>
      </c>
      <c r="C13" s="538">
        <v>9</v>
      </c>
      <c r="D13" s="538">
        <v>15</v>
      </c>
      <c r="E13" s="538">
        <v>15</v>
      </c>
      <c r="F13" s="538">
        <v>17</v>
      </c>
      <c r="G13" s="539">
        <v>18</v>
      </c>
      <c r="H13" s="539">
        <v>38</v>
      </c>
      <c r="I13" s="539">
        <v>26</v>
      </c>
      <c r="J13" s="540">
        <f t="shared" si="2"/>
        <v>1.6816838995568684</v>
      </c>
      <c r="K13" s="540">
        <f t="shared" si="1"/>
        <v>1.9741506646971936</v>
      </c>
      <c r="L13" s="540">
        <v>1.7090492836041355</v>
      </c>
    </row>
    <row r="14" spans="1:12" ht="12.75">
      <c r="A14" s="527">
        <f t="shared" si="0"/>
        <v>4180</v>
      </c>
      <c r="B14" s="527">
        <f t="shared" si="3"/>
        <v>8360</v>
      </c>
      <c r="C14" s="526">
        <v>10</v>
      </c>
      <c r="D14" s="526">
        <v>16</v>
      </c>
      <c r="E14" s="526">
        <v>16</v>
      </c>
      <c r="F14" s="526">
        <v>21</v>
      </c>
      <c r="G14" s="445">
        <v>20</v>
      </c>
      <c r="H14" s="445">
        <v>40</v>
      </c>
      <c r="I14" s="445">
        <v>28</v>
      </c>
      <c r="J14" s="448">
        <f t="shared" si="2"/>
        <v>1.5789473684210527</v>
      </c>
      <c r="K14" s="448">
        <f t="shared" si="1"/>
        <v>1.894736842105263</v>
      </c>
      <c r="L14" s="448">
        <v>1.6605452631578945</v>
      </c>
    </row>
    <row r="15" spans="1:12" ht="12.75">
      <c r="A15" s="537">
        <f t="shared" si="0"/>
        <v>5060</v>
      </c>
      <c r="B15" s="537">
        <f t="shared" si="3"/>
        <v>10110</v>
      </c>
      <c r="C15" s="538">
        <v>11</v>
      </c>
      <c r="D15" s="538">
        <v>17</v>
      </c>
      <c r="E15" s="538">
        <v>17</v>
      </c>
      <c r="F15" s="538">
        <v>20</v>
      </c>
      <c r="G15" s="539">
        <v>22</v>
      </c>
      <c r="H15" s="539">
        <v>42</v>
      </c>
      <c r="I15" s="539">
        <v>30</v>
      </c>
      <c r="J15" s="540">
        <f t="shared" si="2"/>
        <v>1.4960435212660732</v>
      </c>
      <c r="K15" s="540">
        <f t="shared" si="1"/>
        <v>1.8311572700296737</v>
      </c>
      <c r="L15" s="540">
        <v>1.6220885390702275</v>
      </c>
    </row>
    <row r="16" spans="1:12" ht="12.75">
      <c r="A16" s="527">
        <f t="shared" si="0"/>
        <v>6020</v>
      </c>
      <c r="B16" s="527">
        <f t="shared" si="3"/>
        <v>12030</v>
      </c>
      <c r="C16" s="526">
        <v>12</v>
      </c>
      <c r="D16" s="526">
        <v>18</v>
      </c>
      <c r="E16" s="526">
        <v>18</v>
      </c>
      <c r="F16" s="526">
        <v>21</v>
      </c>
      <c r="G16" s="445">
        <v>24</v>
      </c>
      <c r="H16" s="445">
        <v>46</v>
      </c>
      <c r="I16" s="445">
        <v>32</v>
      </c>
      <c r="J16" s="448">
        <f t="shared" si="2"/>
        <v>1.5361596009975063</v>
      </c>
      <c r="K16" s="448">
        <f t="shared" si="1"/>
        <v>1.7775561097256858</v>
      </c>
      <c r="L16" s="448">
        <v>1.5895040598503738</v>
      </c>
    </row>
    <row r="17" spans="1:12" ht="12.75">
      <c r="A17" s="537">
        <f t="shared" si="0"/>
        <v>7060</v>
      </c>
      <c r="B17" s="537">
        <f t="shared" si="3"/>
        <v>14120</v>
      </c>
      <c r="C17" s="538">
        <v>13</v>
      </c>
      <c r="D17" s="538">
        <v>20</v>
      </c>
      <c r="E17" s="538">
        <v>20</v>
      </c>
      <c r="F17" s="538">
        <v>23</v>
      </c>
      <c r="G17" s="539">
        <v>26</v>
      </c>
      <c r="H17" s="539">
        <v>50</v>
      </c>
      <c r="I17" s="539">
        <v>35</v>
      </c>
      <c r="J17" s="540">
        <f t="shared" si="2"/>
        <v>1.5191218130311614</v>
      </c>
      <c r="K17" s="540">
        <f t="shared" si="1"/>
        <v>1.8229461756373937</v>
      </c>
      <c r="L17" s="540">
        <v>1.5976280028328609</v>
      </c>
    </row>
    <row r="18" spans="1:12" ht="12.75">
      <c r="A18" s="527">
        <f t="shared" si="0"/>
        <v>8190</v>
      </c>
      <c r="B18" s="527">
        <f t="shared" si="3"/>
        <v>16380</v>
      </c>
      <c r="C18" s="526">
        <v>14</v>
      </c>
      <c r="D18" s="526">
        <v>22</v>
      </c>
      <c r="E18" s="526">
        <v>22</v>
      </c>
      <c r="F18" s="526">
        <v>25</v>
      </c>
      <c r="G18" s="445">
        <v>28</v>
      </c>
      <c r="H18" s="445">
        <v>55</v>
      </c>
      <c r="I18" s="445">
        <v>38</v>
      </c>
      <c r="J18" s="448">
        <f t="shared" si="2"/>
        <v>1.5512820512820513</v>
      </c>
      <c r="K18" s="448">
        <f t="shared" si="1"/>
        <v>1.8615384615384616</v>
      </c>
      <c r="L18" s="448">
        <v>1.604326307692307</v>
      </c>
    </row>
    <row r="19" spans="1:12" ht="12.75">
      <c r="A19" s="537">
        <f t="shared" si="0"/>
        <v>9400</v>
      </c>
      <c r="B19" s="537">
        <f t="shared" si="3"/>
        <v>18800</v>
      </c>
      <c r="C19" s="538">
        <v>15</v>
      </c>
      <c r="D19" s="538">
        <v>25</v>
      </c>
      <c r="E19" s="538">
        <v>25</v>
      </c>
      <c r="F19" s="538">
        <v>28</v>
      </c>
      <c r="G19" s="539">
        <v>30</v>
      </c>
      <c r="H19" s="539">
        <v>60</v>
      </c>
      <c r="I19" s="539">
        <v>40</v>
      </c>
      <c r="J19" s="540">
        <f t="shared" si="2"/>
        <v>1.5359042553191489</v>
      </c>
      <c r="K19" s="540">
        <f t="shared" si="1"/>
        <v>1.9747340425531914</v>
      </c>
      <c r="L19" s="540">
        <v>1.5407511303191488</v>
      </c>
    </row>
    <row r="20" spans="1:12" ht="12.75">
      <c r="A20" s="527">
        <f t="shared" si="0"/>
        <v>10700</v>
      </c>
      <c r="B20" s="527">
        <f t="shared" si="3"/>
        <v>21390</v>
      </c>
      <c r="C20" s="526">
        <v>16</v>
      </c>
      <c r="D20" s="526">
        <v>25</v>
      </c>
      <c r="E20" s="526">
        <v>25</v>
      </c>
      <c r="F20" s="526">
        <v>25</v>
      </c>
      <c r="G20" s="445">
        <v>32</v>
      </c>
      <c r="H20" s="445">
        <v>65</v>
      </c>
      <c r="I20" s="445">
        <v>42</v>
      </c>
      <c r="J20" s="448">
        <f t="shared" si="2"/>
        <v>1.6456287985039737</v>
      </c>
      <c r="K20" s="448">
        <f t="shared" si="1"/>
        <v>1.8513323983169705</v>
      </c>
      <c r="L20" s="448">
        <v>1.5394219728845253</v>
      </c>
    </row>
    <row r="21" spans="1:12" ht="12.75">
      <c r="A21" s="527">
        <f t="shared" si="0"/>
        <v>15090</v>
      </c>
      <c r="B21" s="527">
        <f t="shared" si="3"/>
        <v>30170</v>
      </c>
      <c r="C21" s="526">
        <v>19</v>
      </c>
      <c r="D21" s="526">
        <v>27</v>
      </c>
      <c r="E21" s="526">
        <v>27</v>
      </c>
      <c r="F21" s="526">
        <v>30</v>
      </c>
      <c r="G21" s="445">
        <v>38</v>
      </c>
      <c r="H21" s="445">
        <v>72</v>
      </c>
      <c r="I21" s="445">
        <v>48</v>
      </c>
      <c r="J21" s="448">
        <f>(J$6*(H21-D21)*G21)/B21/10</f>
        <v>1.5586675505469008</v>
      </c>
      <c r="K21" s="448">
        <f>(D21*G21*K$6)/B21/10</f>
        <v>1.683360954590653</v>
      </c>
      <c r="L21" s="448">
        <v>1.5052740427577063</v>
      </c>
    </row>
    <row r="22" spans="1:12" ht="12.75">
      <c r="A22" s="527">
        <f t="shared" si="0"/>
        <v>20230</v>
      </c>
      <c r="B22" s="527">
        <f t="shared" si="3"/>
        <v>40450</v>
      </c>
      <c r="C22" s="526">
        <v>22</v>
      </c>
      <c r="D22" s="526">
        <v>33</v>
      </c>
      <c r="E22" s="445">
        <v>33</v>
      </c>
      <c r="F22" s="445">
        <v>36</v>
      </c>
      <c r="G22" s="445">
        <v>42</v>
      </c>
      <c r="H22" s="445">
        <v>88</v>
      </c>
      <c r="I22" s="445">
        <v>60</v>
      </c>
      <c r="J22" s="448">
        <f>(J$6*(H22-D22)*G22)/B22/10</f>
        <v>1.5704573547589615</v>
      </c>
      <c r="K22" s="448">
        <f>(D22*G22*K$6)/B22/10</f>
        <v>1.6960939431396784</v>
      </c>
      <c r="L22" s="448">
        <v>1.5605947112484546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0">
      <selection activeCell="H16" sqref="H16:J18"/>
    </sheetView>
  </sheetViews>
  <sheetFormatPr defaultColWidth="12" defaultRowHeight="12.75"/>
  <cols>
    <col min="1" max="1" width="8.83203125" style="25" customWidth="1"/>
    <col min="2" max="2" width="8.83203125" style="26" customWidth="1"/>
    <col min="3" max="4" width="8.83203125" style="27" customWidth="1"/>
    <col min="5" max="5" width="8.83203125" style="28" customWidth="1"/>
    <col min="6" max="7" width="8.83203125" style="7" customWidth="1"/>
    <col min="8" max="11" width="8.83203125" style="29" customWidth="1"/>
    <col min="12" max="12" width="8.83203125" style="30" customWidth="1"/>
    <col min="13" max="13" width="9.16015625" style="7" customWidth="1"/>
    <col min="14" max="16384" width="12" style="7" customWidth="1"/>
  </cols>
  <sheetData>
    <row r="1" spans="1:12" ht="12.75">
      <c r="A1" s="64" t="s">
        <v>0</v>
      </c>
      <c r="B1" s="6"/>
      <c r="C1" s="8"/>
      <c r="D1" s="8"/>
      <c r="E1" s="9"/>
      <c r="F1" s="10"/>
      <c r="G1" s="10"/>
      <c r="H1" s="9"/>
      <c r="I1" s="9"/>
      <c r="J1" s="9"/>
      <c r="K1" s="9"/>
      <c r="L1" s="53"/>
    </row>
    <row r="2" spans="1:12" ht="12.75">
      <c r="A2" s="64" t="s">
        <v>33</v>
      </c>
      <c r="B2" s="15"/>
      <c r="C2" s="61"/>
      <c r="D2" s="61"/>
      <c r="E2" s="62"/>
      <c r="F2" s="63"/>
      <c r="G2" s="63"/>
      <c r="H2" s="62"/>
      <c r="I2" s="62"/>
      <c r="J2" s="62"/>
      <c r="K2" s="62"/>
      <c r="L2" s="65"/>
    </row>
    <row r="3" spans="1:12" ht="12.75">
      <c r="A3" s="83" t="s">
        <v>23</v>
      </c>
      <c r="B3" s="6"/>
      <c r="C3" s="13"/>
      <c r="D3" s="6"/>
      <c r="E3" s="11"/>
      <c r="F3" s="83" t="s">
        <v>34</v>
      </c>
      <c r="G3" s="12"/>
      <c r="H3" s="5" t="s">
        <v>320</v>
      </c>
      <c r="I3" s="13"/>
      <c r="J3" s="13"/>
      <c r="K3" s="13"/>
      <c r="L3" s="12"/>
    </row>
    <row r="4" spans="1:12" ht="12.75">
      <c r="A4" s="19"/>
      <c r="B4" s="19" t="s">
        <v>35</v>
      </c>
      <c r="C4" s="19" t="s">
        <v>36</v>
      </c>
      <c r="D4" s="50" t="s">
        <v>37</v>
      </c>
      <c r="E4" s="472"/>
      <c r="F4" s="19" t="s">
        <v>38</v>
      </c>
      <c r="G4" s="19" t="s">
        <v>3</v>
      </c>
      <c r="H4" s="86"/>
      <c r="I4" s="86" t="s">
        <v>39</v>
      </c>
      <c r="J4" s="86" t="s">
        <v>40</v>
      </c>
      <c r="K4" s="86"/>
      <c r="L4" s="475"/>
    </row>
    <row r="5" spans="1:12" ht="12.75">
      <c r="A5" s="23" t="s">
        <v>41</v>
      </c>
      <c r="B5" s="23" t="s">
        <v>41</v>
      </c>
      <c r="C5" s="23" t="s">
        <v>41</v>
      </c>
      <c r="D5" s="23" t="s">
        <v>42</v>
      </c>
      <c r="E5" s="474"/>
      <c r="F5" s="23" t="s">
        <v>43</v>
      </c>
      <c r="G5" s="23"/>
      <c r="H5" s="87"/>
      <c r="I5" s="87" t="s">
        <v>44</v>
      </c>
      <c r="J5" s="87" t="s">
        <v>45</v>
      </c>
      <c r="K5" s="87"/>
      <c r="L5" s="477"/>
    </row>
    <row r="6" spans="1:12" ht="12.75">
      <c r="A6" s="20" t="s">
        <v>46</v>
      </c>
      <c r="B6" s="20" t="s">
        <v>46</v>
      </c>
      <c r="C6" s="20" t="s">
        <v>46</v>
      </c>
      <c r="D6" s="20"/>
      <c r="E6" s="474"/>
      <c r="F6" s="20" t="s">
        <v>10</v>
      </c>
      <c r="G6" s="20"/>
      <c r="H6" s="88"/>
      <c r="I6" s="88" t="s">
        <v>47</v>
      </c>
      <c r="J6" s="88"/>
      <c r="K6" s="88"/>
      <c r="L6" s="477"/>
    </row>
    <row r="7" spans="1:12" ht="12.75">
      <c r="A7" s="18" t="s">
        <v>7</v>
      </c>
      <c r="B7" s="18" t="s">
        <v>24</v>
      </c>
      <c r="C7" s="18" t="s">
        <v>24</v>
      </c>
      <c r="D7" s="18" t="s">
        <v>24</v>
      </c>
      <c r="E7" s="473"/>
      <c r="F7" s="18" t="s">
        <v>5</v>
      </c>
      <c r="G7" s="18" t="s">
        <v>6</v>
      </c>
      <c r="H7" s="46"/>
      <c r="I7" s="46" t="s">
        <v>7</v>
      </c>
      <c r="J7" s="46" t="s">
        <v>48</v>
      </c>
      <c r="K7" s="46"/>
      <c r="L7" s="476"/>
    </row>
    <row r="8" spans="1:12" ht="13.5" thickBot="1">
      <c r="A8" s="47" t="s">
        <v>370</v>
      </c>
      <c r="B8" s="47">
        <v>800</v>
      </c>
      <c r="C8" s="47">
        <v>600</v>
      </c>
      <c r="D8" s="322">
        <f>MIN(C8/3,B8/6)</f>
        <v>133.33333333333334</v>
      </c>
      <c r="E8" s="44"/>
      <c r="F8" s="89">
        <v>2500</v>
      </c>
      <c r="G8" s="112">
        <v>9.2</v>
      </c>
      <c r="H8" s="36"/>
      <c r="I8" s="82">
        <v>3</v>
      </c>
      <c r="J8" s="36">
        <v>1.5</v>
      </c>
      <c r="K8" s="36"/>
      <c r="L8" s="85"/>
    </row>
    <row r="9" spans="1:12" ht="13.5" thickBot="1">
      <c r="A9" s="66" t="s">
        <v>49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67"/>
    </row>
    <row r="10" spans="1:12" ht="12.75">
      <c r="A10" s="19" t="s">
        <v>50</v>
      </c>
      <c r="B10" s="19" t="s">
        <v>51</v>
      </c>
      <c r="C10" s="19" t="s">
        <v>52</v>
      </c>
      <c r="D10" s="19" t="s">
        <v>53</v>
      </c>
      <c r="E10" s="19" t="s">
        <v>54</v>
      </c>
      <c r="F10" s="19"/>
      <c r="G10" s="19" t="s">
        <v>55</v>
      </c>
      <c r="H10" s="332" t="s">
        <v>56</v>
      </c>
      <c r="I10" s="332" t="s">
        <v>18</v>
      </c>
      <c r="J10" s="336" t="s">
        <v>35</v>
      </c>
      <c r="K10" s="55"/>
      <c r="L10" s="19" t="s">
        <v>12</v>
      </c>
    </row>
    <row r="11" spans="1:12" ht="12.75">
      <c r="A11" s="23" t="s">
        <v>15</v>
      </c>
      <c r="B11" s="23" t="s">
        <v>57</v>
      </c>
      <c r="C11" s="24" t="s">
        <v>58</v>
      </c>
      <c r="D11" s="24" t="s">
        <v>59</v>
      </c>
      <c r="E11" s="23" t="s">
        <v>52</v>
      </c>
      <c r="F11" s="49" t="s">
        <v>60</v>
      </c>
      <c r="G11" s="23" t="s">
        <v>61</v>
      </c>
      <c r="H11" s="325" t="s">
        <v>62</v>
      </c>
      <c r="I11" s="325" t="s">
        <v>61</v>
      </c>
      <c r="J11" s="55" t="s">
        <v>61</v>
      </c>
      <c r="K11" s="56"/>
      <c r="L11" s="24"/>
    </row>
    <row r="12" spans="1:12" ht="12.75">
      <c r="A12" s="20" t="s">
        <v>63</v>
      </c>
      <c r="B12" s="20" t="s">
        <v>2</v>
      </c>
      <c r="C12" s="20"/>
      <c r="D12" s="20" t="s">
        <v>64</v>
      </c>
      <c r="E12" s="20"/>
      <c r="F12" s="20"/>
      <c r="G12" s="20" t="s">
        <v>65</v>
      </c>
      <c r="H12" s="333"/>
      <c r="I12" s="333" t="s">
        <v>62</v>
      </c>
      <c r="J12" s="57"/>
      <c r="K12" s="57"/>
      <c r="L12" s="20"/>
    </row>
    <row r="13" spans="1:12" ht="12.75">
      <c r="A13" s="18" t="s">
        <v>5</v>
      </c>
      <c r="B13" s="18" t="s">
        <v>6</v>
      </c>
      <c r="C13" s="18" t="s">
        <v>21</v>
      </c>
      <c r="D13" s="18" t="s">
        <v>21</v>
      </c>
      <c r="E13" s="18" t="s">
        <v>7</v>
      </c>
      <c r="F13" s="18" t="s">
        <v>21</v>
      </c>
      <c r="G13" s="18" t="s">
        <v>21</v>
      </c>
      <c r="H13" s="334" t="s">
        <v>21</v>
      </c>
      <c r="I13" s="334" t="s">
        <v>21</v>
      </c>
      <c r="J13" s="58" t="s">
        <v>5</v>
      </c>
      <c r="K13" s="58"/>
      <c r="L13" s="18"/>
    </row>
    <row r="14" spans="1:12" ht="12.75">
      <c r="A14" s="41">
        <v>1000</v>
      </c>
      <c r="B14" s="36">
        <v>0.95</v>
      </c>
      <c r="C14" s="36">
        <v>0.22</v>
      </c>
      <c r="D14" s="36"/>
      <c r="E14" s="48">
        <f>D14/C14</f>
        <v>0</v>
      </c>
      <c r="F14" s="41"/>
      <c r="G14" s="60"/>
      <c r="H14" s="335">
        <v>16</v>
      </c>
      <c r="I14" s="335">
        <v>13.5</v>
      </c>
      <c r="J14" s="337">
        <f>0.785*I14^2*B8/10</f>
        <v>11445.3</v>
      </c>
      <c r="K14" s="59" t="s">
        <v>319</v>
      </c>
      <c r="L14" s="323" t="s">
        <v>318</v>
      </c>
    </row>
    <row r="15" spans="1:12" ht="12.75">
      <c r="A15" s="78" t="s">
        <v>66</v>
      </c>
      <c r="B15" s="313">
        <v>173</v>
      </c>
      <c r="C15" s="313">
        <v>173</v>
      </c>
      <c r="D15" s="313">
        <v>173</v>
      </c>
      <c r="E15" s="313">
        <v>173</v>
      </c>
      <c r="F15" s="313">
        <v>173</v>
      </c>
      <c r="G15" s="313">
        <v>173</v>
      </c>
      <c r="H15" s="313">
        <v>155</v>
      </c>
      <c r="I15" s="313">
        <v>155</v>
      </c>
      <c r="J15" s="107"/>
      <c r="K15" s="107">
        <f>AVERAGE(B15:J15)</f>
        <v>168.5</v>
      </c>
      <c r="L15" s="107">
        <f>SUM(B15:J15)</f>
        <v>1348</v>
      </c>
    </row>
    <row r="16" spans="1:12" ht="12.75">
      <c r="A16" s="78" t="s">
        <v>67</v>
      </c>
      <c r="B16" s="313">
        <v>1</v>
      </c>
      <c r="C16" s="313">
        <f>B16+1</f>
        <v>2</v>
      </c>
      <c r="D16" s="313">
        <f>C16+1</f>
        <v>3</v>
      </c>
      <c r="E16" s="313">
        <f>D16+1</f>
        <v>4</v>
      </c>
      <c r="F16" s="313">
        <f>E16+1</f>
        <v>5</v>
      </c>
      <c r="G16" s="313">
        <f>F16+1</f>
        <v>6</v>
      </c>
      <c r="H16" s="313"/>
      <c r="I16" s="313"/>
      <c r="J16" s="107"/>
      <c r="K16" s="314" t="s">
        <v>68</v>
      </c>
      <c r="L16" s="315">
        <f>(12500*A14*B14/(D8*L15))^0.5</f>
        <v>8.12835185370114</v>
      </c>
    </row>
    <row r="17" spans="1:12" ht="12.75">
      <c r="A17" s="316" t="s">
        <v>69</v>
      </c>
      <c r="B17" s="313">
        <f aca="true" t="shared" si="0" ref="B17:G17">B15^2</f>
        <v>29929</v>
      </c>
      <c r="C17" s="313">
        <f t="shared" si="0"/>
        <v>29929</v>
      </c>
      <c r="D17" s="313">
        <f t="shared" si="0"/>
        <v>29929</v>
      </c>
      <c r="E17" s="313">
        <f t="shared" si="0"/>
        <v>29929</v>
      </c>
      <c r="F17" s="313">
        <f t="shared" si="0"/>
        <v>29929</v>
      </c>
      <c r="G17" s="313">
        <f t="shared" si="0"/>
        <v>29929</v>
      </c>
      <c r="H17" s="313"/>
      <c r="I17" s="313"/>
      <c r="J17" s="313"/>
      <c r="K17" s="117"/>
      <c r="L17" s="317">
        <f>SUM(B17:K17)</f>
        <v>179574</v>
      </c>
    </row>
    <row r="18" spans="1:12" ht="12.75">
      <c r="A18" s="316" t="s">
        <v>65</v>
      </c>
      <c r="B18" s="80">
        <v>13.5</v>
      </c>
      <c r="C18" s="80">
        <v>13.5</v>
      </c>
      <c r="D18" s="80">
        <v>13.5</v>
      </c>
      <c r="E18" s="80">
        <v>13.5</v>
      </c>
      <c r="F18" s="80">
        <v>13.5</v>
      </c>
      <c r="G18" s="80">
        <v>13.5</v>
      </c>
      <c r="H18" s="80"/>
      <c r="I18" s="80"/>
      <c r="J18" s="80"/>
      <c r="K18" s="117"/>
      <c r="L18" s="117"/>
    </row>
    <row r="19" spans="1:12" ht="12.75">
      <c r="A19" s="316" t="s">
        <v>70</v>
      </c>
      <c r="B19" s="318">
        <f aca="true" t="shared" si="1" ref="B19:G19">B17*B18^2</f>
        <v>5454560.25</v>
      </c>
      <c r="C19" s="318">
        <f t="shared" si="1"/>
        <v>5454560.25</v>
      </c>
      <c r="D19" s="318">
        <f t="shared" si="1"/>
        <v>5454560.25</v>
      </c>
      <c r="E19" s="318">
        <f t="shared" si="1"/>
        <v>5454560.25</v>
      </c>
      <c r="F19" s="318">
        <f t="shared" si="1"/>
        <v>5454560.25</v>
      </c>
      <c r="G19" s="318">
        <f t="shared" si="1"/>
        <v>5454560.25</v>
      </c>
      <c r="H19" s="318"/>
      <c r="I19" s="318"/>
      <c r="J19" s="318"/>
      <c r="K19" s="117"/>
      <c r="L19" s="319">
        <f>SUM(B19:K19)</f>
        <v>32727361.5</v>
      </c>
    </row>
    <row r="20" spans="1:12" ht="12.75">
      <c r="A20" s="320" t="s">
        <v>71</v>
      </c>
      <c r="B20" s="80">
        <f aca="true" t="shared" si="2" ref="B20:G20">12500*$B15*$A14*$B14/$L19</f>
        <v>62.77239917431169</v>
      </c>
      <c r="C20" s="80">
        <f t="shared" si="2"/>
        <v>62.77239917431169</v>
      </c>
      <c r="D20" s="80">
        <f t="shared" si="2"/>
        <v>62.77239917431169</v>
      </c>
      <c r="E20" s="80">
        <f t="shared" si="2"/>
        <v>62.77239917431169</v>
      </c>
      <c r="F20" s="80">
        <f t="shared" si="2"/>
        <v>62.77239917431169</v>
      </c>
      <c r="G20" s="80">
        <f t="shared" si="2"/>
        <v>62.77239917431169</v>
      </c>
      <c r="H20" s="80"/>
      <c r="I20" s="80"/>
      <c r="J20" s="80"/>
      <c r="K20" s="117"/>
      <c r="L20" s="117"/>
    </row>
    <row r="21" spans="1:12" ht="12.75">
      <c r="A21" s="320" t="s">
        <v>72</v>
      </c>
      <c r="B21" s="423">
        <f aca="true" t="shared" si="3" ref="B21:G21">B20/($D8)</f>
        <v>0.47079299380733763</v>
      </c>
      <c r="C21" s="423">
        <f t="shared" si="3"/>
        <v>0.47079299380733763</v>
      </c>
      <c r="D21" s="423">
        <f t="shared" si="3"/>
        <v>0.47079299380733763</v>
      </c>
      <c r="E21" s="423">
        <f t="shared" si="3"/>
        <v>0.47079299380733763</v>
      </c>
      <c r="F21" s="423">
        <f t="shared" si="3"/>
        <v>0.47079299380733763</v>
      </c>
      <c r="G21" s="423">
        <f t="shared" si="3"/>
        <v>0.47079299380733763</v>
      </c>
      <c r="H21" s="80"/>
      <c r="I21" s="80"/>
      <c r="J21" s="80"/>
      <c r="K21" s="321"/>
      <c r="L21" s="321"/>
    </row>
    <row r="22" spans="1:12" ht="12.75">
      <c r="A22" s="90" t="s">
        <v>371</v>
      </c>
      <c r="B22" s="33"/>
      <c r="C22" s="70"/>
      <c r="D22" s="91"/>
      <c r="E22" s="33"/>
      <c r="F22" s="33"/>
      <c r="G22" s="33"/>
      <c r="H22" s="33"/>
      <c r="I22" s="33"/>
      <c r="J22" s="33"/>
      <c r="K22" s="33"/>
      <c r="L22" s="70"/>
    </row>
    <row r="23" spans="1:12" ht="12.75">
      <c r="A23" s="19"/>
      <c r="B23" s="19"/>
      <c r="C23" s="19"/>
      <c r="D23" s="19" t="s">
        <v>32</v>
      </c>
      <c r="E23" s="417" t="s">
        <v>32</v>
      </c>
      <c r="F23" s="19"/>
      <c r="G23" s="19"/>
      <c r="H23" s="19"/>
      <c r="I23" s="19"/>
      <c r="J23" s="19"/>
      <c r="K23" s="19"/>
      <c r="L23" s="19"/>
    </row>
    <row r="24" spans="1:12" ht="12.75">
      <c r="A24" s="24"/>
      <c r="B24" s="24"/>
      <c r="C24" s="24"/>
      <c r="D24" s="23" t="s">
        <v>372</v>
      </c>
      <c r="E24" s="418" t="s">
        <v>373</v>
      </c>
      <c r="F24" s="23"/>
      <c r="G24" s="23"/>
      <c r="H24" s="49"/>
      <c r="I24" s="49"/>
      <c r="J24" s="49"/>
      <c r="K24" s="24"/>
      <c r="L24" s="24"/>
    </row>
    <row r="25" spans="1:12" ht="12.75">
      <c r="A25" s="20"/>
      <c r="B25" s="20"/>
      <c r="C25" s="20"/>
      <c r="D25" s="20"/>
      <c r="E25" s="419" t="s">
        <v>102</v>
      </c>
      <c r="F25" s="20"/>
      <c r="G25" s="20"/>
      <c r="H25" s="20"/>
      <c r="I25" s="20"/>
      <c r="J25" s="20"/>
      <c r="K25" s="20"/>
      <c r="L25" s="20"/>
    </row>
    <row r="26" spans="1:12" ht="12.75">
      <c r="A26" s="18"/>
      <c r="B26" s="18"/>
      <c r="C26" s="18"/>
      <c r="D26" s="18" t="s">
        <v>93</v>
      </c>
      <c r="E26" s="420" t="s">
        <v>93</v>
      </c>
      <c r="F26" s="18"/>
      <c r="G26" s="18"/>
      <c r="H26" s="18"/>
      <c r="I26" s="18"/>
      <c r="J26" s="18"/>
      <c r="K26" s="18"/>
      <c r="L26" s="18"/>
    </row>
    <row r="27" spans="1:12" ht="12.75">
      <c r="A27" s="106"/>
      <c r="B27" s="106"/>
      <c r="C27" s="105"/>
      <c r="D27" s="89">
        <f>A14*9.81*B14/10</f>
        <v>931.95</v>
      </c>
      <c r="E27" s="421">
        <f>D27/I8</f>
        <v>310.65000000000003</v>
      </c>
      <c r="F27" s="89"/>
      <c r="G27" s="89"/>
      <c r="H27" s="89"/>
      <c r="I27" s="89"/>
      <c r="J27" s="41"/>
      <c r="K27" s="110"/>
      <c r="L27" s="89"/>
    </row>
    <row r="28" spans="1:12" ht="12.75">
      <c r="A28" s="90" t="s">
        <v>73</v>
      </c>
      <c r="B28" s="33"/>
      <c r="C28" s="70"/>
      <c r="D28" s="91" t="s">
        <v>74</v>
      </c>
      <c r="E28" s="33"/>
      <c r="F28" s="33"/>
      <c r="G28" s="33"/>
      <c r="H28" s="33"/>
      <c r="I28" s="33"/>
      <c r="J28" s="33"/>
      <c r="K28" s="33"/>
      <c r="L28" s="70"/>
    </row>
    <row r="29" spans="1:12" ht="12.75">
      <c r="A29" s="19" t="s">
        <v>17</v>
      </c>
      <c r="B29" s="19" t="s">
        <v>75</v>
      </c>
      <c r="C29" s="19" t="s">
        <v>76</v>
      </c>
      <c r="D29" s="19" t="s">
        <v>77</v>
      </c>
      <c r="E29" s="19" t="s">
        <v>78</v>
      </c>
      <c r="F29" s="19" t="s">
        <v>79</v>
      </c>
      <c r="G29" s="19" t="s">
        <v>80</v>
      </c>
      <c r="H29" s="19" t="s">
        <v>81</v>
      </c>
      <c r="I29" s="19" t="s">
        <v>82</v>
      </c>
      <c r="J29" s="19" t="s">
        <v>83</v>
      </c>
      <c r="K29" s="19" t="s">
        <v>84</v>
      </c>
      <c r="L29" s="19" t="s">
        <v>12</v>
      </c>
    </row>
    <row r="30" spans="1:12" ht="12.75">
      <c r="A30" s="24"/>
      <c r="B30" s="24" t="s">
        <v>85</v>
      </c>
      <c r="C30" s="24"/>
      <c r="D30" s="23" t="s">
        <v>86</v>
      </c>
      <c r="E30" s="23" t="s">
        <v>86</v>
      </c>
      <c r="F30" s="23" t="s">
        <v>86</v>
      </c>
      <c r="G30" s="23" t="s">
        <v>86</v>
      </c>
      <c r="H30" s="49" t="s">
        <v>87</v>
      </c>
      <c r="I30" s="49" t="s">
        <v>87</v>
      </c>
      <c r="J30" s="49" t="s">
        <v>87</v>
      </c>
      <c r="K30" s="24" t="s">
        <v>88</v>
      </c>
      <c r="L30" s="24"/>
    </row>
    <row r="31" spans="1:12" ht="12.75">
      <c r="A31" s="20" t="s">
        <v>89</v>
      </c>
      <c r="B31" s="20" t="s">
        <v>90</v>
      </c>
      <c r="C31" s="20"/>
      <c r="D31" s="20"/>
      <c r="E31" s="20"/>
      <c r="F31" s="20"/>
      <c r="G31" s="20"/>
      <c r="H31" s="20" t="s">
        <v>91</v>
      </c>
      <c r="I31" s="20" t="s">
        <v>92</v>
      </c>
      <c r="J31" s="20" t="s">
        <v>92</v>
      </c>
      <c r="K31" s="20"/>
      <c r="L31" s="20"/>
    </row>
    <row r="32" spans="1:12" ht="12.75">
      <c r="A32" s="18" t="s">
        <v>6</v>
      </c>
      <c r="B32" s="18" t="s">
        <v>6</v>
      </c>
      <c r="C32" s="18" t="s">
        <v>6</v>
      </c>
      <c r="D32" s="18" t="s">
        <v>93</v>
      </c>
      <c r="E32" s="18" t="s">
        <v>31</v>
      </c>
      <c r="F32" s="18" t="s">
        <v>31</v>
      </c>
      <c r="G32" s="18" t="s">
        <v>31</v>
      </c>
      <c r="H32" s="18" t="s">
        <v>31</v>
      </c>
      <c r="I32" s="18" t="s">
        <v>31</v>
      </c>
      <c r="J32" s="18" t="s">
        <v>31</v>
      </c>
      <c r="K32" s="18" t="s">
        <v>7</v>
      </c>
      <c r="L32" s="18" t="s">
        <v>7</v>
      </c>
    </row>
    <row r="33" spans="1:12" ht="12.75">
      <c r="A33" s="106">
        <v>1.2</v>
      </c>
      <c r="B33" s="106">
        <v>0.22</v>
      </c>
      <c r="C33" s="105">
        <f>(A33-B33)/2</f>
        <v>0.49</v>
      </c>
      <c r="D33" s="89">
        <f>(F8-A14)*9.81/10</f>
        <v>1471.5</v>
      </c>
      <c r="E33" s="89">
        <f>D33*10*$C33^2/(2*$A33)</f>
        <v>1472.1131249999999</v>
      </c>
      <c r="F33" s="89">
        <f>(D33*10)*C33*($A33-C33)/(2*$A33)</f>
        <v>2133.061875</v>
      </c>
      <c r="G33" s="89">
        <f>MAX(E33:F33)</f>
        <v>2133.061875</v>
      </c>
      <c r="H33" s="89">
        <f>G33*J8</f>
        <v>3199.5928125</v>
      </c>
      <c r="I33" s="89">
        <f>H33/I8</f>
        <v>1066.5309375</v>
      </c>
      <c r="J33" s="41">
        <v>458</v>
      </c>
      <c r="K33" s="110">
        <f>J33/I33</f>
        <v>0.4294296432446434</v>
      </c>
      <c r="L33" s="89" t="s">
        <v>13</v>
      </c>
    </row>
    <row r="34" spans="1:12" ht="12.75">
      <c r="A34" s="90" t="s">
        <v>94</v>
      </c>
      <c r="B34" s="33"/>
      <c r="C34" s="70"/>
      <c r="D34" s="91" t="s">
        <v>95</v>
      </c>
      <c r="E34" s="33"/>
      <c r="F34" s="33"/>
      <c r="G34" s="33"/>
      <c r="H34" s="33"/>
      <c r="I34" s="33"/>
      <c r="J34" s="33"/>
      <c r="K34" s="33"/>
      <c r="L34" s="70"/>
    </row>
    <row r="35" spans="1:12" ht="12.75">
      <c r="A35" s="19" t="s">
        <v>17</v>
      </c>
      <c r="B35" s="19" t="s">
        <v>30</v>
      </c>
      <c r="C35" s="19" t="s">
        <v>76</v>
      </c>
      <c r="D35" s="19" t="s">
        <v>96</v>
      </c>
      <c r="E35" s="19" t="s">
        <v>97</v>
      </c>
      <c r="F35" s="19" t="s">
        <v>98</v>
      </c>
      <c r="G35" s="19" t="s">
        <v>78</v>
      </c>
      <c r="H35" s="19" t="s">
        <v>79</v>
      </c>
      <c r="I35" s="417" t="s">
        <v>99</v>
      </c>
      <c r="J35" s="19"/>
      <c r="K35" s="19"/>
      <c r="L35" s="19" t="s">
        <v>12</v>
      </c>
    </row>
    <row r="36" spans="1:12" ht="12.75">
      <c r="A36" s="24"/>
      <c r="B36" s="24" t="s">
        <v>100</v>
      </c>
      <c r="C36" s="24"/>
      <c r="D36" s="24" t="s">
        <v>101</v>
      </c>
      <c r="E36" s="23"/>
      <c r="F36" s="23"/>
      <c r="G36" s="23" t="s">
        <v>86</v>
      </c>
      <c r="H36" s="23" t="s">
        <v>86</v>
      </c>
      <c r="I36" s="422" t="s">
        <v>87</v>
      </c>
      <c r="J36" s="49"/>
      <c r="K36" s="24"/>
      <c r="L36" s="24"/>
    </row>
    <row r="37" spans="1:12" ht="12.75">
      <c r="A37" s="20" t="s">
        <v>102</v>
      </c>
      <c r="B37" s="20"/>
      <c r="C37" s="20"/>
      <c r="D37" s="20"/>
      <c r="E37" s="20"/>
      <c r="F37" s="20"/>
      <c r="G37" s="20"/>
      <c r="H37" s="20"/>
      <c r="I37" s="419" t="s">
        <v>103</v>
      </c>
      <c r="J37" s="20"/>
      <c r="K37" s="20"/>
      <c r="L37" s="20"/>
    </row>
    <row r="38" spans="1:12" ht="12.75">
      <c r="A38" s="18" t="s">
        <v>6</v>
      </c>
      <c r="B38" s="18" t="s">
        <v>6</v>
      </c>
      <c r="C38" s="18" t="s">
        <v>6</v>
      </c>
      <c r="D38" s="18" t="s">
        <v>6</v>
      </c>
      <c r="E38" s="18" t="s">
        <v>104</v>
      </c>
      <c r="F38" s="18" t="s">
        <v>104</v>
      </c>
      <c r="G38" s="18" t="s">
        <v>322</v>
      </c>
      <c r="H38" s="18" t="s">
        <v>322</v>
      </c>
      <c r="I38" s="420" t="s">
        <v>322</v>
      </c>
      <c r="J38" s="18"/>
      <c r="K38" s="18"/>
      <c r="L38" s="18" t="s">
        <v>7</v>
      </c>
    </row>
    <row r="39" spans="1:12" ht="12.75">
      <c r="A39" s="106">
        <v>1.2</v>
      </c>
      <c r="B39" s="106">
        <v>0.7</v>
      </c>
      <c r="C39" s="111">
        <f>C33</f>
        <v>0.49</v>
      </c>
      <c r="D39" s="106">
        <v>1.35</v>
      </c>
      <c r="E39" s="89">
        <f>F8*10</f>
        <v>25000</v>
      </c>
      <c r="F39" s="89">
        <f>E39*D39/B39</f>
        <v>48214.28571428572</v>
      </c>
      <c r="G39" s="89">
        <f>F39*C39^2/(2*A39)/10</f>
        <v>482.34375</v>
      </c>
      <c r="H39" s="89">
        <f>F39*C39*(A39-C39)/(2*A39)/10</f>
        <v>698.90625</v>
      </c>
      <c r="I39" s="421">
        <f>MAX(G39:H39)</f>
        <v>698.90625</v>
      </c>
      <c r="J39" s="40"/>
      <c r="K39" s="110"/>
      <c r="L39" s="89"/>
    </row>
    <row r="40" spans="1:12" ht="12.75">
      <c r="A40" s="68"/>
      <c r="L40" s="69"/>
    </row>
    <row r="41" spans="1:12" ht="12.75">
      <c r="A41" s="37" t="s">
        <v>105</v>
      </c>
      <c r="B41" s="6"/>
      <c r="C41" s="8"/>
      <c r="D41" s="8"/>
      <c r="E41" s="9"/>
      <c r="F41" s="10"/>
      <c r="G41" s="10"/>
      <c r="H41" s="9"/>
      <c r="I41" s="9"/>
      <c r="J41" s="9"/>
      <c r="K41" s="9"/>
      <c r="L41" s="53"/>
    </row>
    <row r="42" spans="1:12" ht="12.75">
      <c r="A42" s="17" t="s">
        <v>106</v>
      </c>
      <c r="B42" s="54">
        <v>12</v>
      </c>
      <c r="C42" s="54">
        <v>14</v>
      </c>
      <c r="D42" s="54">
        <v>16</v>
      </c>
      <c r="E42" s="45">
        <v>18</v>
      </c>
      <c r="F42" s="45">
        <v>20</v>
      </c>
      <c r="G42" s="45">
        <v>22</v>
      </c>
      <c r="H42" s="45">
        <v>24</v>
      </c>
      <c r="I42" s="45">
        <v>27</v>
      </c>
      <c r="J42" s="45">
        <v>30</v>
      </c>
      <c r="K42" s="45"/>
      <c r="L42" s="45">
        <v>36</v>
      </c>
    </row>
    <row r="43" spans="1:12" ht="12.75">
      <c r="A43" s="17" t="s">
        <v>107</v>
      </c>
      <c r="B43" s="1">
        <v>1.75</v>
      </c>
      <c r="C43" s="4">
        <v>2</v>
      </c>
      <c r="D43" s="4">
        <v>2</v>
      </c>
      <c r="E43" s="46">
        <v>2.5</v>
      </c>
      <c r="F43" s="18">
        <v>2.5</v>
      </c>
      <c r="G43" s="18">
        <v>2.5</v>
      </c>
      <c r="H43" s="46">
        <v>3</v>
      </c>
      <c r="I43" s="46">
        <v>3.5</v>
      </c>
      <c r="J43" s="46">
        <v>3</v>
      </c>
      <c r="K43" s="46"/>
      <c r="L43" s="45">
        <v>4</v>
      </c>
    </row>
    <row r="44" spans="1:12" ht="12.75">
      <c r="A44" s="17" t="s">
        <v>108</v>
      </c>
      <c r="B44" s="3">
        <f>B42-1.2268*B43</f>
        <v>9.853100000000001</v>
      </c>
      <c r="C44" s="3">
        <f aca="true" t="shared" si="4" ref="C44:L44">C42-1.2268*C43</f>
        <v>11.5464</v>
      </c>
      <c r="D44" s="3">
        <f t="shared" si="4"/>
        <v>13.5464</v>
      </c>
      <c r="E44" s="3">
        <f t="shared" si="4"/>
        <v>14.933</v>
      </c>
      <c r="F44" s="3">
        <f t="shared" si="4"/>
        <v>16.933</v>
      </c>
      <c r="G44" s="3">
        <f t="shared" si="4"/>
        <v>18.933</v>
      </c>
      <c r="H44" s="3">
        <f t="shared" si="4"/>
        <v>20.3196</v>
      </c>
      <c r="I44" s="3">
        <f t="shared" si="4"/>
        <v>22.706200000000003</v>
      </c>
      <c r="J44" s="3">
        <f t="shared" si="4"/>
        <v>26.3196</v>
      </c>
      <c r="K44" s="3"/>
      <c r="L44" s="3">
        <f t="shared" si="4"/>
        <v>31.0928</v>
      </c>
    </row>
    <row r="45" spans="1:12" ht="12.75">
      <c r="A45" s="17" t="s">
        <v>109</v>
      </c>
      <c r="B45" s="54">
        <f>PI()/4*B44^2</f>
        <v>76.24926512174397</v>
      </c>
      <c r="C45" s="54">
        <f aca="true" t="shared" si="5" ref="C45:L45">PI()/4*C44^2</f>
        <v>104.70877496012017</v>
      </c>
      <c r="D45" s="54">
        <f t="shared" si="5"/>
        <v>144.12445302911914</v>
      </c>
      <c r="E45" s="54">
        <f t="shared" si="5"/>
        <v>175.13946210835246</v>
      </c>
      <c r="F45" s="54">
        <f t="shared" si="5"/>
        <v>225.19445785799866</v>
      </c>
      <c r="G45" s="54">
        <f t="shared" si="5"/>
        <v>281.5326389148244</v>
      </c>
      <c r="H45" s="54">
        <f t="shared" si="5"/>
        <v>324.28001931551813</v>
      </c>
      <c r="I45" s="54">
        <f t="shared" si="5"/>
        <v>404.9289236828097</v>
      </c>
      <c r="J45" s="54">
        <f t="shared" si="5"/>
        <v>544.0620714494758</v>
      </c>
      <c r="K45" s="54"/>
      <c r="L45" s="54">
        <f t="shared" si="5"/>
        <v>759.2932656211909</v>
      </c>
    </row>
    <row r="46" spans="1:12" ht="12.75">
      <c r="A46" s="17"/>
      <c r="B46" s="1"/>
      <c r="C46" s="4" t="s">
        <v>110</v>
      </c>
      <c r="D46" s="4"/>
      <c r="E46" s="4" t="s">
        <v>110</v>
      </c>
      <c r="F46" s="18"/>
      <c r="G46" s="4" t="s">
        <v>110</v>
      </c>
      <c r="H46" s="46"/>
      <c r="I46" s="46"/>
      <c r="J46" s="46"/>
      <c r="K46" s="46"/>
      <c r="L46" s="45"/>
    </row>
    <row r="47" spans="1:12" ht="12.75">
      <c r="A47" s="35" t="s">
        <v>111</v>
      </c>
      <c r="B47" s="31"/>
      <c r="C47" s="32"/>
      <c r="D47" s="32"/>
      <c r="E47" s="51"/>
      <c r="F47" s="33"/>
      <c r="G47" s="33"/>
      <c r="H47" s="34"/>
      <c r="I47" s="34"/>
      <c r="J47" s="34"/>
      <c r="K47" s="34"/>
      <c r="L47" s="52"/>
    </row>
    <row r="48" spans="1:12" ht="12.75">
      <c r="A48" s="101" t="s">
        <v>112</v>
      </c>
      <c r="B48" s="16"/>
      <c r="C48" s="102"/>
      <c r="D48" s="102"/>
      <c r="E48" s="103"/>
      <c r="F48" s="98" t="s">
        <v>113</v>
      </c>
      <c r="G48" s="71"/>
      <c r="H48" s="98" t="s">
        <v>114</v>
      </c>
      <c r="I48" s="71"/>
      <c r="J48" s="100" t="s">
        <v>115</v>
      </c>
      <c r="K48" s="100"/>
      <c r="L48" s="92"/>
    </row>
    <row r="49" spans="1:12" ht="12.75">
      <c r="A49" s="68"/>
      <c r="D49" s="90" t="s">
        <v>116</v>
      </c>
      <c r="E49" s="99"/>
      <c r="F49" s="98">
        <v>0</v>
      </c>
      <c r="G49" s="71"/>
      <c r="H49" s="98" t="s">
        <v>117</v>
      </c>
      <c r="I49" s="71"/>
      <c r="J49" s="104" t="s">
        <v>118</v>
      </c>
      <c r="K49" s="109"/>
      <c r="L49" s="52"/>
    </row>
    <row r="50" spans="1:12" ht="12.75">
      <c r="A50" s="93"/>
      <c r="B50" s="94"/>
      <c r="C50" s="95"/>
      <c r="D50" s="90" t="s">
        <v>119</v>
      </c>
      <c r="E50" s="99"/>
      <c r="F50" s="98" t="s">
        <v>120</v>
      </c>
      <c r="G50" s="71"/>
      <c r="H50" s="98" t="s">
        <v>121</v>
      </c>
      <c r="I50" s="71"/>
      <c r="J50" s="96"/>
      <c r="K50" s="96"/>
      <c r="L50" s="97"/>
    </row>
  </sheetData>
  <printOptions/>
  <pageMargins left="0.3937007874015748" right="0.3937007874015748" top="0.5905511811023623" bottom="0.5905511811023623" header="0.5118110236220472" footer="0.6299212598425197"/>
  <pageSetup horizontalDpi="360" verticalDpi="360" orientation="portrait" paperSize="9" r:id="rId2"/>
  <headerFooter alignWithMargins="0">
    <oddFooter>&amp;L&amp;F  &amp;A&amp;CPage &amp;P&amp;R&amp;D à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DOLTO</dc:creator>
  <cp:keywords/>
  <dc:description/>
  <cp:lastModifiedBy>Gregoire</cp:lastModifiedBy>
  <cp:lastPrinted>2004-03-02T08:31:22Z</cp:lastPrinted>
  <dcterms:created xsi:type="dcterms:W3CDTF">1998-02-13T07:49:58Z</dcterms:created>
  <dcterms:modified xsi:type="dcterms:W3CDTF">2004-03-02T14:32:56Z</dcterms:modified>
  <cp:category/>
  <cp:version/>
  <cp:contentType/>
  <cp:contentStatus/>
</cp:coreProperties>
</file>